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8.lboro.ac.uk\Research-Office-Main\RESEARCH OFFICE\Laura Dale\Laura Dale\"/>
    </mc:Choice>
  </mc:AlternateContent>
  <xr:revisionPtr revIDLastSave="0" documentId="8_{AFCF56FC-882F-44B9-8711-91B30FE9C6D7}" xr6:coauthVersionLast="45" xr6:coauthVersionMax="45" xr10:uidLastSave="{00000000-0000-0000-0000-000000000000}"/>
  <bookViews>
    <workbookView xWindow="-120" yWindow="-120" windowWidth="29040" windowHeight="15840" xr2:uid="{7A76FB3B-FEAC-4BB0-B007-F265A586CF18}"/>
  </bookViews>
  <sheets>
    <sheet name="Notes" sheetId="4" r:id="rId1"/>
    <sheet name="Data Verified" sheetId="1" state="veryHidden" r:id="rId2"/>
    <sheet name="Raw Data" sheetId="5" state="veryHidden" r:id="rId3"/>
    <sheet name="Costs" sheetId="2" r:id="rId4"/>
    <sheet name="Lists" sheetId="3" state="veryHidden" r:id="rId5"/>
  </sheets>
  <definedNames>
    <definedName name="Acad">Lists!$AG$3:$AG$5</definedName>
    <definedName name="Dates">Lists!$C$26:$C$27</definedName>
    <definedName name="Dept">Lists!$AC$3:$AC$24</definedName>
    <definedName name="Duration">Lists!$AK$3:$AK$7</definedName>
    <definedName name="FTE">Lists!$W$3:$W$12</definedName>
    <definedName name="Grade">Lists!#REF!</definedName>
    <definedName name="Grade_4">Lists!$G$3:$G$9</definedName>
    <definedName name="Grade_5">Lists!$I$3:$I$9</definedName>
    <definedName name="Grade_6">Lists!$K$3:$K$12</definedName>
    <definedName name="Grade_7">Lists!$M$3:$M$9</definedName>
    <definedName name="Grade_8">Lists!$O$3:$O$6</definedName>
    <definedName name="GradeA">Lists!$A$3:$A$5</definedName>
    <definedName name="GradeAd">Lists!$C$4:$C$7</definedName>
    <definedName name="GradeR">Lists!$E$3:$E$4</definedName>
    <definedName name="Inflation">Lists!$AM$3:$AM$7</definedName>
    <definedName name="Item">Lists!$Y$3:$Y$5</definedName>
    <definedName name="Professorial">Lists!$Q$3:$Q$10</definedName>
    <definedName name="Role">Lists!$AE$3:$AE$4</definedName>
    <definedName name="Scale">Lists!$S$3:$S$17</definedName>
    <definedName name="Support">Lists!$AI$3:$AI$8</definedName>
    <definedName name="Units">Lists!$AA$3:$AA$12</definedName>
    <definedName name="YesNo">Lists!$U$3:$U$4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 a="1"/>
  <c r="G21" i="2" s="1"/>
  <c r="Z40" i="2" l="1"/>
  <c r="Z38" i="2"/>
  <c r="Z39" i="2"/>
  <c r="Z37" i="2"/>
  <c r="AM7" i="3"/>
  <c r="AM6" i="3"/>
  <c r="AM5" i="3"/>
  <c r="AM4" i="3"/>
  <c r="C26" i="3" l="1"/>
  <c r="V4" i="1" s="1"/>
  <c r="Y30" i="2"/>
  <c r="AC30" i="2" s="1"/>
  <c r="Z30" i="2"/>
  <c r="Z31" i="2"/>
  <c r="Y31" i="2"/>
  <c r="AC31" i="2" s="1"/>
  <c r="Z29" i="2"/>
  <c r="W30" i="2"/>
  <c r="AA30" i="2" s="1"/>
  <c r="W31" i="2"/>
  <c r="AA31" i="2" s="1"/>
  <c r="X30" i="2"/>
  <c r="AB30" i="2" s="1"/>
  <c r="X31" i="2"/>
  <c r="AB31" i="2" s="1"/>
  <c r="I32" i="2"/>
  <c r="H21" i="2" a="1"/>
  <c r="H21" i="2" s="1"/>
  <c r="Y21" i="2" s="1"/>
  <c r="AC21" i="2" s="1"/>
  <c r="Z21" i="2"/>
  <c r="H22" i="2" a="1"/>
  <c r="H22" i="2" s="1"/>
  <c r="Z22" i="2"/>
  <c r="Z23" i="2"/>
  <c r="H23" i="2" a="1"/>
  <c r="H23" i="2" s="1"/>
  <c r="H20" i="2" a="1"/>
  <c r="H20" i="2" s="1"/>
  <c r="Z20" i="2"/>
  <c r="H11" i="2" a="1"/>
  <c r="H11" i="2" s="1"/>
  <c r="Z11" i="2"/>
  <c r="H12" i="2" a="1"/>
  <c r="H12" i="2" s="1"/>
  <c r="Z12" i="2"/>
  <c r="H13" i="2" a="1"/>
  <c r="H13" i="2"/>
  <c r="Y13" i="2" s="1"/>
  <c r="AC13" i="2" s="1"/>
  <c r="Z13" i="2"/>
  <c r="Z14" i="2"/>
  <c r="H14" i="2" a="1"/>
  <c r="H14" i="2" s="1"/>
  <c r="G22" i="2" a="1"/>
  <c r="G22" i="2" s="1"/>
  <c r="G23" i="2" a="1"/>
  <c r="G23" i="2" s="1"/>
  <c r="G20" i="2" a="1"/>
  <c r="G20" i="2" s="1"/>
  <c r="W13" i="2"/>
  <c r="AA13" i="2" s="1"/>
  <c r="X13" i="2"/>
  <c r="AB13" i="2" s="1"/>
  <c r="M28" i="2"/>
  <c r="F37" i="2" a="1"/>
  <c r="F37" i="2" s="1"/>
  <c r="Y7" i="5"/>
  <c r="G12" i="2" a="1"/>
  <c r="G12" i="2" s="1"/>
  <c r="G13" i="2" a="1"/>
  <c r="G13" i="2"/>
  <c r="G14" i="2" a="1"/>
  <c r="G14" i="2" s="1"/>
  <c r="G11" i="2" a="1"/>
  <c r="G11" i="2" s="1"/>
  <c r="Y5" i="5"/>
  <c r="Y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4" i="5"/>
  <c r="J48" i="5"/>
  <c r="C48" i="5"/>
  <c r="D48" i="5" s="1"/>
  <c r="J47" i="5"/>
  <c r="K47" i="5" s="1"/>
  <c r="L47" i="5" s="1"/>
  <c r="C47" i="5"/>
  <c r="D47" i="5" s="1"/>
  <c r="J46" i="5"/>
  <c r="C46" i="5"/>
  <c r="J45" i="5"/>
  <c r="K45" i="5" s="1"/>
  <c r="L45" i="5" s="1"/>
  <c r="C45" i="5"/>
  <c r="D45" i="5" s="1"/>
  <c r="J44" i="5"/>
  <c r="K44" i="5" s="1"/>
  <c r="L44" i="5" s="1"/>
  <c r="C44" i="5"/>
  <c r="J43" i="5"/>
  <c r="K43" i="5" s="1"/>
  <c r="L43" i="5" s="1"/>
  <c r="C43" i="5"/>
  <c r="D43" i="5" s="1"/>
  <c r="J42" i="5"/>
  <c r="K42" i="5" s="1"/>
  <c r="L42" i="5" s="1"/>
  <c r="C42" i="5"/>
  <c r="J41" i="5"/>
  <c r="K41" i="5" s="1"/>
  <c r="L41" i="5" s="1"/>
  <c r="C41" i="5"/>
  <c r="D41" i="5" s="1"/>
  <c r="J40" i="5"/>
  <c r="E40" i="5"/>
  <c r="I40" i="5" s="1"/>
  <c r="J39" i="5"/>
  <c r="E39" i="5"/>
  <c r="I39" i="5" s="1"/>
  <c r="K39" i="5" s="1"/>
  <c r="J38" i="5"/>
  <c r="E38" i="5"/>
  <c r="I38" i="5" s="1"/>
  <c r="K38" i="5" s="1"/>
  <c r="L38" i="5" s="1"/>
  <c r="J37" i="5"/>
  <c r="E37" i="5"/>
  <c r="I37" i="5" s="1"/>
  <c r="J36" i="5"/>
  <c r="E36" i="5"/>
  <c r="I36" i="5" s="1"/>
  <c r="J35" i="5"/>
  <c r="E35" i="5"/>
  <c r="I35" i="5" s="1"/>
  <c r="J34" i="5"/>
  <c r="E34" i="5"/>
  <c r="I34" i="5" s="1"/>
  <c r="J33" i="5"/>
  <c r="E33" i="5"/>
  <c r="I33" i="5" s="1"/>
  <c r="J32" i="5"/>
  <c r="E32" i="5"/>
  <c r="I32" i="5" s="1"/>
  <c r="K32" i="5" s="1"/>
  <c r="J31" i="5"/>
  <c r="E31" i="5"/>
  <c r="I31" i="5" s="1"/>
  <c r="J30" i="5"/>
  <c r="E30" i="5"/>
  <c r="I30" i="5" s="1"/>
  <c r="J29" i="5"/>
  <c r="E29" i="5"/>
  <c r="I29" i="5" s="1"/>
  <c r="J28" i="5"/>
  <c r="E28" i="5"/>
  <c r="I28" i="5" s="1"/>
  <c r="J27" i="5"/>
  <c r="E27" i="5"/>
  <c r="I27" i="5" s="1"/>
  <c r="J26" i="5"/>
  <c r="E26" i="5"/>
  <c r="I26" i="5" s="1"/>
  <c r="J25" i="5"/>
  <c r="E25" i="5"/>
  <c r="I25" i="5" s="1"/>
  <c r="J24" i="5"/>
  <c r="E24" i="5"/>
  <c r="I24" i="5" s="1"/>
  <c r="K24" i="5" s="1"/>
  <c r="L24" i="5" s="1"/>
  <c r="J23" i="5"/>
  <c r="E23" i="5"/>
  <c r="I23" i="5" s="1"/>
  <c r="J22" i="5"/>
  <c r="E22" i="5"/>
  <c r="I22" i="5" s="1"/>
  <c r="J21" i="5"/>
  <c r="E21" i="5"/>
  <c r="I21" i="5" s="1"/>
  <c r="J20" i="5"/>
  <c r="E20" i="5"/>
  <c r="I20" i="5" s="1"/>
  <c r="J19" i="5"/>
  <c r="E19" i="5"/>
  <c r="I19" i="5" s="1"/>
  <c r="J18" i="5"/>
  <c r="E18" i="5"/>
  <c r="I18" i="5" s="1"/>
  <c r="O17" i="5"/>
  <c r="J17" i="5"/>
  <c r="E17" i="5"/>
  <c r="I17" i="5" s="1"/>
  <c r="O16" i="5"/>
  <c r="J16" i="5"/>
  <c r="E16" i="5"/>
  <c r="I16" i="5" s="1"/>
  <c r="J15" i="5"/>
  <c r="E15" i="5"/>
  <c r="I15" i="5" s="1"/>
  <c r="J14" i="5"/>
  <c r="E14" i="5"/>
  <c r="I14" i="5" s="1"/>
  <c r="J13" i="5"/>
  <c r="E13" i="5"/>
  <c r="I13" i="5" s="1"/>
  <c r="J12" i="5"/>
  <c r="E12" i="5"/>
  <c r="I12" i="5" s="1"/>
  <c r="J11" i="5"/>
  <c r="E11" i="5"/>
  <c r="I11" i="5"/>
  <c r="K11" i="5" s="1"/>
  <c r="J10" i="5"/>
  <c r="E10" i="5"/>
  <c r="I10" i="5" s="1"/>
  <c r="J9" i="5"/>
  <c r="E9" i="5"/>
  <c r="I9" i="5" s="1"/>
  <c r="J8" i="5"/>
  <c r="E8" i="5"/>
  <c r="I8" i="5" s="1"/>
  <c r="O7" i="5"/>
  <c r="O8" i="5" s="1"/>
  <c r="J7" i="5"/>
  <c r="E7" i="5"/>
  <c r="I7" i="5" s="1"/>
  <c r="P6" i="5"/>
  <c r="Q6" i="5" s="1"/>
  <c r="J6" i="5"/>
  <c r="E6" i="5"/>
  <c r="I6" i="5" s="1"/>
  <c r="J5" i="5"/>
  <c r="E5" i="5"/>
  <c r="I5" i="5" s="1"/>
  <c r="K5" i="5" s="1"/>
  <c r="J45" i="2"/>
  <c r="K36" i="2"/>
  <c r="N19" i="2"/>
  <c r="N10" i="2"/>
  <c r="I47" i="2"/>
  <c r="J47" i="2"/>
  <c r="I48" i="2"/>
  <c r="J48" i="2"/>
  <c r="I49" i="2"/>
  <c r="J49" i="2"/>
  <c r="I50" i="2"/>
  <c r="J50" i="2"/>
  <c r="I51" i="2"/>
  <c r="J51" i="2"/>
  <c r="I46" i="2"/>
  <c r="J46" i="2"/>
  <c r="F38" i="2" a="1"/>
  <c r="F38" i="2" s="1"/>
  <c r="F39" i="2" a="1"/>
  <c r="F39" i="2" s="1"/>
  <c r="F40" i="2" a="1"/>
  <c r="F40" i="2" s="1"/>
  <c r="E38" i="2" a="1"/>
  <c r="E38" i="2" s="1"/>
  <c r="E39" i="2" a="1"/>
  <c r="E39" i="2" s="1"/>
  <c r="E40" i="2" a="1"/>
  <c r="E40" i="2"/>
  <c r="E37" i="2" a="1"/>
  <c r="E37" i="2" s="1"/>
  <c r="J53" i="2"/>
  <c r="I53" i="2"/>
  <c r="W39" i="2" l="1"/>
  <c r="AA39" i="2" s="1"/>
  <c r="AD39" i="2" s="1" a="1"/>
  <c r="AD39" i="2" s="1"/>
  <c r="G39" i="2" s="1"/>
  <c r="X39" i="2"/>
  <c r="AB39" i="2" s="1"/>
  <c r="AE39" i="2" s="1" a="1"/>
  <c r="AE39" i="2" s="1"/>
  <c r="H39" i="2" s="1"/>
  <c r="Y39" i="2"/>
  <c r="AC39" i="2" s="1"/>
  <c r="AF39" i="2" s="1" a="1"/>
  <c r="AF39" i="2" s="1"/>
  <c r="I39" i="2" s="1"/>
  <c r="W38" i="2"/>
  <c r="AA38" i="2" s="1"/>
  <c r="AD38" i="2" s="1" a="1"/>
  <c r="AD38" i="2" s="1"/>
  <c r="G38" i="2" s="1"/>
  <c r="X38" i="2"/>
  <c r="AB38" i="2" s="1"/>
  <c r="AE38" i="2" s="1" a="1"/>
  <c r="AE38" i="2" s="1"/>
  <c r="H38" i="2" s="1"/>
  <c r="Y38" i="2"/>
  <c r="AC38" i="2" s="1"/>
  <c r="AF38" i="2" s="1" a="1"/>
  <c r="AF38" i="2" s="1"/>
  <c r="I38" i="2" s="1"/>
  <c r="W40" i="2"/>
  <c r="AA40" i="2" s="1"/>
  <c r="AD40" i="2" s="1" a="1"/>
  <c r="AD40" i="2" s="1"/>
  <c r="G40" i="2" s="1"/>
  <c r="X40" i="2"/>
  <c r="AB40" i="2" s="1"/>
  <c r="AE40" i="2" s="1" a="1"/>
  <c r="AE40" i="2" s="1"/>
  <c r="H40" i="2" s="1"/>
  <c r="Y40" i="2"/>
  <c r="AC40" i="2" s="1"/>
  <c r="AF40" i="2" s="1" a="1"/>
  <c r="AF40" i="2" s="1"/>
  <c r="I40" i="2" s="1"/>
  <c r="Y14" i="2"/>
  <c r="AC14" i="2" s="1"/>
  <c r="AF14" i="2" s="1" a="1"/>
  <c r="AF14" i="2" s="1"/>
  <c r="K14" i="2" s="1"/>
  <c r="W14" i="2"/>
  <c r="AA14" i="2" s="1"/>
  <c r="U18" i="2" a="1"/>
  <c r="U18" i="2" s="1"/>
  <c r="U30" i="2" a="1"/>
  <c r="U30" i="2" s="1"/>
  <c r="U13" i="2" a="1"/>
  <c r="U13" i="2" s="1"/>
  <c r="U31" i="2" a="1"/>
  <c r="U31" i="2" s="1"/>
  <c r="U17" i="2" a="1"/>
  <c r="U17" i="2" s="1"/>
  <c r="U16" i="2" a="1"/>
  <c r="U16" i="2" s="1"/>
  <c r="AF21" i="2" a="1"/>
  <c r="AF21" i="2" s="1"/>
  <c r="K21" i="2" s="1"/>
  <c r="E43" i="5"/>
  <c r="K7" i="5"/>
  <c r="L7" i="5" s="1"/>
  <c r="K14" i="5"/>
  <c r="L14" i="5" s="1"/>
  <c r="K25" i="5"/>
  <c r="L25" i="5" s="1"/>
  <c r="E45" i="5"/>
  <c r="E41" i="5"/>
  <c r="K10" i="5"/>
  <c r="L10" i="5" s="1"/>
  <c r="K8" i="5"/>
  <c r="L8" i="5" s="1"/>
  <c r="K27" i="5"/>
  <c r="L27" i="5" s="1"/>
  <c r="K34" i="5"/>
  <c r="L34" i="5" s="1"/>
  <c r="K20" i="5"/>
  <c r="K6" i="5"/>
  <c r="K18" i="5"/>
  <c r="L18" i="5" s="1"/>
  <c r="K21" i="5"/>
  <c r="L21" i="5" s="1"/>
  <c r="K28" i="5"/>
  <c r="L28" i="5" s="1"/>
  <c r="L28" i="1" s="1"/>
  <c r="K33" i="5"/>
  <c r="L33" i="5" s="1"/>
  <c r="K40" i="5"/>
  <c r="L40" i="5" s="1"/>
  <c r="J40" i="2"/>
  <c r="K40" i="2" s="1"/>
  <c r="U40" i="2" a="1"/>
  <c r="U40" i="2" s="1"/>
  <c r="Y22" i="2"/>
  <c r="AC22" i="2" s="1"/>
  <c r="AF22" i="2" s="1" a="1"/>
  <c r="AF22" i="2" s="1"/>
  <c r="K22" i="2" s="1"/>
  <c r="X22" i="2"/>
  <c r="AB22" i="2" s="1"/>
  <c r="AE22" i="2" s="1" a="1"/>
  <c r="AE22" i="2" s="1"/>
  <c r="J22" i="2" s="1"/>
  <c r="W22" i="2"/>
  <c r="AA22" i="2" s="1"/>
  <c r="AD22" i="2" s="1" a="1"/>
  <c r="AD22" i="2" s="1"/>
  <c r="I22" i="2" s="1"/>
  <c r="U22" i="2" a="1"/>
  <c r="U22" i="2" s="1"/>
  <c r="U38" i="2" a="1"/>
  <c r="U38" i="2" s="1"/>
  <c r="AE30" i="2" a="1"/>
  <c r="AE30" i="2" s="1"/>
  <c r="I30" i="2" s="1"/>
  <c r="U21" i="2" a="1"/>
  <c r="U21" i="2" s="1"/>
  <c r="U15" i="2" a="1"/>
  <c r="U15" i="2" s="1"/>
  <c r="AD13" i="2" a="1"/>
  <c r="AD13" i="2" s="1"/>
  <c r="I13" i="2" s="1"/>
  <c r="X21" i="2"/>
  <c r="AB21" i="2" s="1"/>
  <c r="AE21" i="2" s="1" a="1"/>
  <c r="AE21" i="2" s="1"/>
  <c r="J21" i="2" s="1"/>
  <c r="AF13" i="2" a="1"/>
  <c r="AF13" i="2" s="1"/>
  <c r="K13" i="2" s="1"/>
  <c r="AD31" i="2" a="1"/>
  <c r="AD31" i="2" s="1"/>
  <c r="H31" i="2" s="1"/>
  <c r="AD14" i="2" a="1"/>
  <c r="AD14" i="2" s="1"/>
  <c r="I14" i="2" s="1"/>
  <c r="U39" i="2" a="1"/>
  <c r="U39" i="2" s="1"/>
  <c r="AE13" i="2" a="1"/>
  <c r="AE13" i="2" s="1"/>
  <c r="J13" i="2" s="1"/>
  <c r="U14" i="2" a="1"/>
  <c r="U14" i="2" s="1"/>
  <c r="X14" i="2"/>
  <c r="AB14" i="2" s="1"/>
  <c r="AE14" i="2" s="1" a="1"/>
  <c r="AE14" i="2" s="1"/>
  <c r="J14" i="2" s="1"/>
  <c r="W21" i="2"/>
  <c r="AA21" i="2" s="1"/>
  <c r="AD21" i="2" s="1" a="1"/>
  <c r="AD21" i="2" s="1"/>
  <c r="I21" i="2" s="1"/>
  <c r="AD30" i="2" a="1"/>
  <c r="AD30" i="2" s="1"/>
  <c r="H30" i="2" s="1"/>
  <c r="AF31" i="2" a="1"/>
  <c r="AF31" i="2" s="1"/>
  <c r="J31" i="2" s="1"/>
  <c r="AF30" i="2" a="1"/>
  <c r="AF30" i="2" s="1"/>
  <c r="J30" i="2" s="1"/>
  <c r="AE31" i="2" a="1"/>
  <c r="AE31" i="2" s="1"/>
  <c r="I31" i="2" s="1"/>
  <c r="E47" i="5"/>
  <c r="L5" i="5"/>
  <c r="L5" i="1" s="1"/>
  <c r="K9" i="5"/>
  <c r="L9" i="5" s="1"/>
  <c r="L9" i="1" s="1"/>
  <c r="L11" i="5"/>
  <c r="L11" i="1" s="1"/>
  <c r="K15" i="5"/>
  <c r="L15" i="5" s="1"/>
  <c r="L15" i="1" s="1"/>
  <c r="K19" i="5"/>
  <c r="L19" i="5" s="1"/>
  <c r="L19" i="1" s="1"/>
  <c r="K26" i="5"/>
  <c r="L26" i="5" s="1"/>
  <c r="L26" i="1" s="1"/>
  <c r="Y12" i="2" s="1"/>
  <c r="AC12" i="2" s="1"/>
  <c r="AF12" i="2" s="1" a="1"/>
  <c r="AF12" i="2" s="1"/>
  <c r="K12" i="2" s="1"/>
  <c r="K46" i="5"/>
  <c r="L46" i="5" s="1"/>
  <c r="L46" i="1" s="1"/>
  <c r="K12" i="5"/>
  <c r="L12" i="5" s="1"/>
  <c r="K31" i="5"/>
  <c r="L31" i="5" s="1"/>
  <c r="L31" i="1" s="1"/>
  <c r="L32" i="5"/>
  <c r="L32" i="1" s="1"/>
  <c r="K37" i="5"/>
  <c r="L37" i="5" s="1"/>
  <c r="L37" i="1" s="1"/>
  <c r="E48" i="5"/>
  <c r="E48" i="1" s="1"/>
  <c r="K13" i="5"/>
  <c r="L13" i="5" s="1"/>
  <c r="L13" i="1" s="1"/>
  <c r="K16" i="5"/>
  <c r="L16" i="5" s="1"/>
  <c r="L16" i="1" s="1"/>
  <c r="K30" i="5"/>
  <c r="L30" i="5" s="1"/>
  <c r="L30" i="1" s="1"/>
  <c r="K22" i="5"/>
  <c r="L22" i="5" s="1"/>
  <c r="L22" i="1" s="1"/>
  <c r="K35" i="5"/>
  <c r="K35" i="1" s="1"/>
  <c r="L39" i="5"/>
  <c r="L6" i="5"/>
  <c r="P7" i="5"/>
  <c r="P8" i="5" s="1"/>
  <c r="Q7" i="5"/>
  <c r="Q8" i="5" s="1"/>
  <c r="Q8" i="1" s="1"/>
  <c r="K17" i="5"/>
  <c r="L17" i="5" s="1"/>
  <c r="L17" i="1" s="1"/>
  <c r="L20" i="5"/>
  <c r="L20" i="1" s="1"/>
  <c r="K23" i="5"/>
  <c r="L23" i="5" s="1"/>
  <c r="L23" i="1" s="1"/>
  <c r="K29" i="5"/>
  <c r="L29" i="5" s="1"/>
  <c r="L29" i="1" s="1"/>
  <c r="K36" i="5"/>
  <c r="L36" i="5" s="1"/>
  <c r="L36" i="1" s="1"/>
  <c r="D42" i="5"/>
  <c r="E42" i="5" s="1"/>
  <c r="E42" i="1" s="1"/>
  <c r="D44" i="5"/>
  <c r="E44" i="5" s="1"/>
  <c r="E44" i="1" s="1"/>
  <c r="D46" i="5"/>
  <c r="E46" i="5" s="1"/>
  <c r="E46" i="1" s="1"/>
  <c r="K48" i="5"/>
  <c r="L48" i="5" s="1"/>
  <c r="L48" i="1" s="1"/>
  <c r="C22" i="1"/>
  <c r="D22" i="1"/>
  <c r="E38" i="1"/>
  <c r="D45" i="1"/>
  <c r="E32" i="1"/>
  <c r="E35" i="1"/>
  <c r="O6" i="1"/>
  <c r="C10" i="1"/>
  <c r="D35" i="1"/>
  <c r="E11" i="1"/>
  <c r="C37" i="1"/>
  <c r="E14" i="1"/>
  <c r="E25" i="1"/>
  <c r="C24" i="1"/>
  <c r="P6" i="1"/>
  <c r="U17" i="1"/>
  <c r="C7" i="1"/>
  <c r="C27" i="1"/>
  <c r="O14" i="1"/>
  <c r="E8" i="1"/>
  <c r="D10" i="1"/>
  <c r="C12" i="1"/>
  <c r="C23" i="1"/>
  <c r="D21" i="1"/>
  <c r="U9" i="1"/>
  <c r="E20" i="1"/>
  <c r="D47" i="1"/>
  <c r="C21" i="1"/>
  <c r="E47" i="1"/>
  <c r="C36" i="1"/>
  <c r="C47" i="1"/>
  <c r="U27" i="1"/>
  <c r="U26" i="1"/>
  <c r="J36" i="1"/>
  <c r="D5" i="1"/>
  <c r="C14" i="1"/>
  <c r="D27" i="1"/>
  <c r="E40" i="1"/>
  <c r="D9" i="1"/>
  <c r="E15" i="1"/>
  <c r="E27" i="1"/>
  <c r="D42" i="1"/>
  <c r="E21" i="1"/>
  <c r="E22" i="1"/>
  <c r="D12" i="1"/>
  <c r="E33" i="1"/>
  <c r="E45" i="1"/>
  <c r="C32" i="1"/>
  <c r="D24" i="1"/>
  <c r="P7" i="1"/>
  <c r="R14" i="1"/>
  <c r="U12" i="1"/>
  <c r="L27" i="1"/>
  <c r="E5" i="1"/>
  <c r="D15" i="1"/>
  <c r="E28" i="1"/>
  <c r="C42" i="1"/>
  <c r="D6" i="1"/>
  <c r="C17" i="1"/>
  <c r="C29" i="1"/>
  <c r="E43" i="1"/>
  <c r="E29" i="1"/>
  <c r="D25" i="1"/>
  <c r="C15" i="1"/>
  <c r="D36" i="1"/>
  <c r="E10" i="1"/>
  <c r="E34" i="1"/>
  <c r="C35" i="1"/>
  <c r="Q7" i="1"/>
  <c r="S14" i="1"/>
  <c r="U20" i="1"/>
  <c r="C6" i="1"/>
  <c r="D11" i="1"/>
  <c r="C18" i="1"/>
  <c r="D23" i="1"/>
  <c r="C30" i="1"/>
  <c r="E36" i="1"/>
  <c r="E6" i="1"/>
  <c r="E7" i="1"/>
  <c r="C13" i="1"/>
  <c r="D18" i="1"/>
  <c r="E23" i="1"/>
  <c r="D30" i="1"/>
  <c r="E39" i="1"/>
  <c r="C45" i="1"/>
  <c r="C11" i="1"/>
  <c r="E37" i="1"/>
  <c r="D17" i="1"/>
  <c r="C28" i="1"/>
  <c r="D41" i="1"/>
  <c r="E17" i="1"/>
  <c r="D28" i="1"/>
  <c r="C39" i="1"/>
  <c r="D32" i="1"/>
  <c r="D13" i="1"/>
  <c r="E26" i="1"/>
  <c r="D37" i="1"/>
  <c r="C48" i="1"/>
  <c r="D48" i="1"/>
  <c r="Q6" i="1"/>
  <c r="O8" i="1"/>
  <c r="P14" i="1"/>
  <c r="P20" i="1"/>
  <c r="U25" i="1"/>
  <c r="U28" i="1"/>
  <c r="I48" i="1"/>
  <c r="J14" i="1"/>
  <c r="D7" i="1"/>
  <c r="E12" i="1"/>
  <c r="D19" i="1"/>
  <c r="E24" i="1"/>
  <c r="D31" i="1"/>
  <c r="D39" i="1"/>
  <c r="C46" i="1"/>
  <c r="C8" i="1"/>
  <c r="C9" i="1"/>
  <c r="D14" i="1"/>
  <c r="E19" i="1"/>
  <c r="C25" i="1"/>
  <c r="E31" i="1"/>
  <c r="C41" i="1"/>
  <c r="C19" i="1"/>
  <c r="D8" i="1"/>
  <c r="C20" i="1"/>
  <c r="E30" i="1"/>
  <c r="E9" i="1"/>
  <c r="D20" i="1"/>
  <c r="C31" i="1"/>
  <c r="E41" i="1"/>
  <c r="D40" i="1"/>
  <c r="E18" i="1"/>
  <c r="D29" i="1"/>
  <c r="C40" i="1"/>
  <c r="E13" i="1"/>
  <c r="O7" i="1"/>
  <c r="P8" i="1"/>
  <c r="Q14" i="1"/>
  <c r="U4" i="1"/>
  <c r="U6" i="1"/>
  <c r="U11" i="1"/>
  <c r="K43" i="1"/>
  <c r="U5" i="1"/>
  <c r="U21" i="1"/>
  <c r="U8" i="1"/>
  <c r="U24" i="1"/>
  <c r="U15" i="1"/>
  <c r="U14" i="1"/>
  <c r="U22" i="1"/>
  <c r="I47" i="1"/>
  <c r="K42" i="1"/>
  <c r="I34" i="1"/>
  <c r="J25" i="1"/>
  <c r="I9" i="1"/>
  <c r="U19" i="1"/>
  <c r="U30" i="1"/>
  <c r="U18" i="1"/>
  <c r="I46" i="1"/>
  <c r="K40" i="1"/>
  <c r="K22" i="1"/>
  <c r="U13" i="1"/>
  <c r="U29" i="1"/>
  <c r="U16" i="1"/>
  <c r="U7" i="1"/>
  <c r="U23" i="1"/>
  <c r="U10" i="1"/>
  <c r="F2" i="2"/>
  <c r="C5" i="1"/>
  <c r="E16" i="1"/>
  <c r="I45" i="1"/>
  <c r="J38" i="1"/>
  <c r="I20" i="1"/>
  <c r="K41" i="1"/>
  <c r="J37" i="1"/>
  <c r="I24" i="1"/>
  <c r="K18" i="1"/>
  <c r="I13" i="1"/>
  <c r="K7" i="1"/>
  <c r="C33" i="1"/>
  <c r="C38" i="1"/>
  <c r="J17" i="1"/>
  <c r="K5" i="1"/>
  <c r="K39" i="1"/>
  <c r="J35" i="1"/>
  <c r="J21" i="1"/>
  <c r="J10" i="1"/>
  <c r="I5" i="1"/>
  <c r="J44" i="1"/>
  <c r="I42" i="1"/>
  <c r="I40" i="1"/>
  <c r="J33" i="1"/>
  <c r="J31" i="1"/>
  <c r="J29" i="1"/>
  <c r="J27" i="1"/>
  <c r="K24" i="1"/>
  <c r="I22" i="1"/>
  <c r="J19" i="1"/>
  <c r="J16" i="1"/>
  <c r="I11" i="1"/>
  <c r="J8" i="1"/>
  <c r="I8" i="1"/>
  <c r="D26" i="1"/>
  <c r="K47" i="1"/>
  <c r="K45" i="1"/>
  <c r="I43" i="1"/>
  <c r="I41" i="1"/>
  <c r="I39" i="1"/>
  <c r="K34" i="1"/>
  <c r="J32" i="1"/>
  <c r="J30" i="1"/>
  <c r="J28" i="1"/>
  <c r="I26" i="1"/>
  <c r="J23" i="1"/>
  <c r="K20" i="1"/>
  <c r="I18" i="1"/>
  <c r="I15" i="1"/>
  <c r="J12" i="1"/>
  <c r="K6" i="1"/>
  <c r="W30" i="1"/>
  <c r="L47" i="1"/>
  <c r="L45" i="1"/>
  <c r="K44" i="1"/>
  <c r="J43" i="1"/>
  <c r="J42" i="1"/>
  <c r="J41" i="1"/>
  <c r="J40" i="1"/>
  <c r="J39" i="1"/>
  <c r="I38" i="1"/>
  <c r="I37" i="1"/>
  <c r="I36" i="1"/>
  <c r="I35" i="1"/>
  <c r="K33" i="1"/>
  <c r="K32" i="1"/>
  <c r="K28" i="1"/>
  <c r="K27" i="1"/>
  <c r="J26" i="1"/>
  <c r="I25" i="1"/>
  <c r="K23" i="1"/>
  <c r="J22" i="1"/>
  <c r="I21" i="1"/>
  <c r="K19" i="1"/>
  <c r="J18" i="1"/>
  <c r="I17" i="1"/>
  <c r="J15" i="1"/>
  <c r="I14" i="1"/>
  <c r="L12" i="1"/>
  <c r="J11" i="1"/>
  <c r="I10" i="1"/>
  <c r="L8" i="1"/>
  <c r="L6" i="1"/>
  <c r="J5" i="1"/>
  <c r="C34" i="1"/>
  <c r="D16" i="1"/>
  <c r="C16" i="1"/>
  <c r="W27" i="1"/>
  <c r="L34" i="1"/>
  <c r="D33" i="1"/>
  <c r="D38" i="1"/>
  <c r="L38" i="1"/>
  <c r="V25" i="1"/>
  <c r="J48" i="1"/>
  <c r="J47" i="1"/>
  <c r="J46" i="1"/>
  <c r="J45" i="1"/>
  <c r="I44" i="1"/>
  <c r="L42" i="1"/>
  <c r="L41" i="1"/>
  <c r="L40" i="1"/>
  <c r="L39" i="1"/>
  <c r="K38" i="1"/>
  <c r="J34" i="1"/>
  <c r="I33" i="1"/>
  <c r="I32" i="1"/>
  <c r="I31" i="1"/>
  <c r="I30" i="1"/>
  <c r="I29" i="1"/>
  <c r="I28" i="1"/>
  <c r="I27" i="1"/>
  <c r="K25" i="1"/>
  <c r="J24" i="1"/>
  <c r="I23" i="1"/>
  <c r="K21" i="1"/>
  <c r="J20" i="1"/>
  <c r="I19" i="1"/>
  <c r="I16" i="1"/>
  <c r="L14" i="1"/>
  <c r="J13" i="1"/>
  <c r="I12" i="1"/>
  <c r="L10" i="1"/>
  <c r="J9" i="1"/>
  <c r="L7" i="1"/>
  <c r="J6" i="1"/>
  <c r="I6" i="1"/>
  <c r="C44" i="1"/>
  <c r="L44" i="1"/>
  <c r="W19" i="1"/>
  <c r="W29" i="1"/>
  <c r="W24" i="1"/>
  <c r="V19" i="1"/>
  <c r="W22" i="1"/>
  <c r="W14" i="1"/>
  <c r="V27" i="1"/>
  <c r="W21" i="1"/>
  <c r="W13" i="1"/>
  <c r="C43" i="1"/>
  <c r="L43" i="1"/>
  <c r="V29" i="1"/>
  <c r="W26" i="1"/>
  <c r="W23" i="1"/>
  <c r="V21" i="1"/>
  <c r="V17" i="1"/>
  <c r="V9" i="1"/>
  <c r="L25" i="1"/>
  <c r="L24" i="1"/>
  <c r="L21" i="1"/>
  <c r="L18" i="1"/>
  <c r="K14" i="1"/>
  <c r="K12" i="1"/>
  <c r="K11" i="1"/>
  <c r="K10" i="1"/>
  <c r="K8" i="1"/>
  <c r="J7" i="1"/>
  <c r="I7" i="1"/>
  <c r="D34" i="1"/>
  <c r="C26" i="1"/>
  <c r="L33" i="1"/>
  <c r="D43" i="1"/>
  <c r="O16" i="1"/>
  <c r="W28" i="1"/>
  <c r="W25" i="1"/>
  <c r="V23" i="1"/>
  <c r="W20" i="1"/>
  <c r="W16" i="1"/>
  <c r="W8" i="1"/>
  <c r="W18" i="1"/>
  <c r="W15" i="1"/>
  <c r="W11" i="1"/>
  <c r="W5" i="1"/>
  <c r="W17" i="1"/>
  <c r="V15" i="1"/>
  <c r="V11" i="1"/>
  <c r="V7" i="1"/>
  <c r="V13" i="1"/>
  <c r="W10" i="1"/>
  <c r="W7" i="1"/>
  <c r="V6" i="1"/>
  <c r="W12" i="1"/>
  <c r="W9" i="1"/>
  <c r="W6" i="1"/>
  <c r="V5" i="1"/>
  <c r="O17" i="1"/>
  <c r="V30" i="1"/>
  <c r="V28" i="1"/>
  <c r="V26" i="1"/>
  <c r="V24" i="1"/>
  <c r="V22" i="1"/>
  <c r="V20" i="1"/>
  <c r="V18" i="1"/>
  <c r="V16" i="1"/>
  <c r="V14" i="1"/>
  <c r="V12" i="1"/>
  <c r="V10" i="1"/>
  <c r="V8" i="1"/>
  <c r="W4" i="1"/>
  <c r="U29" i="2" l="1" a="1"/>
  <c r="U29" i="2" s="1"/>
  <c r="X20" i="2"/>
  <c r="AB20" i="2" s="1"/>
  <c r="AE20" i="2" s="1" a="1"/>
  <c r="AE20" i="2" s="1"/>
  <c r="J20" i="2" s="1"/>
  <c r="U37" i="2" a="1"/>
  <c r="U37" i="2" s="1"/>
  <c r="W20" i="2"/>
  <c r="AA20" i="2" s="1"/>
  <c r="AD20" i="2" s="1" a="1"/>
  <c r="AD20" i="2" s="1"/>
  <c r="I20" i="2" s="1"/>
  <c r="Y37" i="2"/>
  <c r="X37" i="2"/>
  <c r="W37" i="2"/>
  <c r="AA37" i="2" s="1"/>
  <c r="AD37" i="2" s="1" a="1"/>
  <c r="AD37" i="2" s="1"/>
  <c r="G37" i="2" s="1"/>
  <c r="X11" i="2"/>
  <c r="AB11" i="2" s="1"/>
  <c r="AE11" i="2" s="1" a="1"/>
  <c r="AE11" i="2" s="1"/>
  <c r="J11" i="2" s="1"/>
  <c r="W11" i="2"/>
  <c r="AA11" i="2" s="1"/>
  <c r="AD11" i="2" s="1" a="1"/>
  <c r="AD11" i="2" s="1"/>
  <c r="I11" i="2" s="1"/>
  <c r="Y20" i="2"/>
  <c r="AC20" i="2" s="1"/>
  <c r="AF20" i="2" s="1" a="1"/>
  <c r="AF20" i="2" s="1"/>
  <c r="K36" i="1"/>
  <c r="K48" i="1"/>
  <c r="K26" i="1"/>
  <c r="K16" i="1"/>
  <c r="D46" i="1"/>
  <c r="J38" i="2"/>
  <c r="K38" i="2" s="1"/>
  <c r="D44" i="1"/>
  <c r="X29" i="2" s="1"/>
  <c r="AB29" i="2" s="1"/>
  <c r="AE29" i="2" s="1" a="1"/>
  <c r="AE29" i="2" s="1"/>
  <c r="I29" i="2" s="1"/>
  <c r="K29" i="1"/>
  <c r="L35" i="5"/>
  <c r="L35" i="1" s="1"/>
  <c r="K9" i="1"/>
  <c r="K13" i="1"/>
  <c r="K31" i="1"/>
  <c r="J39" i="2"/>
  <c r="K39" i="2" s="1"/>
  <c r="K17" i="1"/>
  <c r="K30" i="1"/>
  <c r="K37" i="1"/>
  <c r="Q10" i="5"/>
  <c r="K15" i="1"/>
  <c r="K46" i="1"/>
  <c r="Q10" i="1"/>
  <c r="W29" i="2"/>
  <c r="AA29" i="2" s="1"/>
  <c r="AD29" i="2" s="1" a="1"/>
  <c r="AD29" i="2" s="1"/>
  <c r="H29" i="2" s="1"/>
  <c r="Y29" i="2"/>
  <c r="AC29" i="2" s="1"/>
  <c r="AF29" i="2" s="1" a="1"/>
  <c r="AF29" i="2" s="1"/>
  <c r="J29" i="2" s="1"/>
  <c r="X23" i="2"/>
  <c r="AB23" i="2" s="1"/>
  <c r="AE23" i="2" s="1" a="1"/>
  <c r="AE23" i="2" s="1"/>
  <c r="J23" i="2" s="1"/>
  <c r="Y23" i="2"/>
  <c r="AC23" i="2" s="1"/>
  <c r="AF23" i="2" s="1" a="1"/>
  <c r="AF23" i="2" s="1"/>
  <c r="K23" i="2" s="1"/>
  <c r="W23" i="2"/>
  <c r="AA23" i="2" s="1"/>
  <c r="AD23" i="2" s="1" a="1"/>
  <c r="AD23" i="2" s="1"/>
  <c r="U23" i="2" a="1"/>
  <c r="U23" i="2" s="1"/>
  <c r="U20" i="2" a="1"/>
  <c r="U20" i="2" s="1"/>
  <c r="X12" i="2"/>
  <c r="AB12" i="2" s="1"/>
  <c r="AE12" i="2" s="1" a="1"/>
  <c r="AE12" i="2" s="1"/>
  <c r="J12" i="2" s="1"/>
  <c r="Y11" i="2"/>
  <c r="AC11" i="2" s="1"/>
  <c r="AF11" i="2" s="1" a="1"/>
  <c r="AF11" i="2" s="1"/>
  <c r="K11" i="2" s="1"/>
  <c r="U11" i="2" a="1"/>
  <c r="U11" i="2" s="1"/>
  <c r="U12" i="2" a="1"/>
  <c r="U12" i="2" s="1"/>
  <c r="W12" i="2"/>
  <c r="AA12" i="2" s="1"/>
  <c r="AD12" i="2" s="1" a="1"/>
  <c r="AD12" i="2" s="1"/>
  <c r="I12" i="2" s="1"/>
  <c r="S20" i="2"/>
  <c r="T20" i="2" s="1"/>
  <c r="S30" i="2"/>
  <c r="T30" i="2" s="1"/>
  <c r="K30" i="2" s="1" a="1"/>
  <c r="K30" i="2" s="1"/>
  <c r="S11" i="2"/>
  <c r="T11" i="2" s="1"/>
  <c r="L11" i="2" s="1" a="1"/>
  <c r="L11" i="2" s="1"/>
  <c r="S22" i="2"/>
  <c r="T22" i="2" s="1"/>
  <c r="S12" i="2"/>
  <c r="T12" i="2" s="1"/>
  <c r="L12" i="2" s="1" a="1"/>
  <c r="L12" i="2" s="1"/>
  <c r="S17" i="2"/>
  <c r="S18" i="2"/>
  <c r="S13" i="2"/>
  <c r="T13" i="2" s="1"/>
  <c r="L13" i="2" s="1" a="1"/>
  <c r="L13" i="2" s="1"/>
  <c r="S24" i="2"/>
  <c r="S16" i="2"/>
  <c r="S23" i="2"/>
  <c r="T23" i="2" s="1"/>
  <c r="L23" i="2" s="1" a="1"/>
  <c r="L23" i="2" s="1"/>
  <c r="S15" i="2"/>
  <c r="S29" i="2"/>
  <c r="T29" i="2" s="1"/>
  <c r="K29" i="2" s="1" a="1"/>
  <c r="K29" i="2" s="1"/>
  <c r="S14" i="2"/>
  <c r="T14" i="2" s="1"/>
  <c r="L14" i="2" s="1" a="1"/>
  <c r="L14" i="2" s="1"/>
  <c r="S21" i="2"/>
  <c r="T21" i="2" s="1"/>
  <c r="S31" i="2"/>
  <c r="T31" i="2" s="1"/>
  <c r="K31" i="2" s="1" a="1"/>
  <c r="K31" i="2" s="1"/>
  <c r="J25" i="2" l="1"/>
  <c r="K20" i="2"/>
  <c r="K25" i="2" s="1"/>
  <c r="I23" i="2"/>
  <c r="I25" i="2" s="1"/>
  <c r="L22" i="2" a="1"/>
  <c r="L22" i="2" s="1"/>
  <c r="M22" i="2" s="1"/>
  <c r="N22" i="2" s="1"/>
  <c r="L21" i="2" a="1"/>
  <c r="L21" i="2" s="1"/>
  <c r="M21" i="2" s="1"/>
  <c r="N21" i="2" s="1"/>
  <c r="L20" i="2" a="1"/>
  <c r="L20" i="2" s="1"/>
  <c r="M13" i="2"/>
  <c r="N13" i="2" s="1"/>
  <c r="M14" i="2"/>
  <c r="N14" i="2" s="1"/>
  <c r="AC37" i="2"/>
  <c r="AF37" i="2" s="1" a="1"/>
  <c r="AF37" i="2" s="1"/>
  <c r="I37" i="2" s="1"/>
  <c r="I42" i="2" s="1"/>
  <c r="K16" i="2"/>
  <c r="AB37" i="2"/>
  <c r="AE37" i="2" s="1" a="1"/>
  <c r="AE37" i="2" s="1"/>
  <c r="G42" i="2"/>
  <c r="J16" i="2"/>
  <c r="I16" i="2"/>
  <c r="L30" i="2"/>
  <c r="M30" i="2" s="1"/>
  <c r="L31" i="2"/>
  <c r="M31" i="2" s="1"/>
  <c r="L29" i="2"/>
  <c r="M23" i="2"/>
  <c r="N23" i="2" s="1"/>
  <c r="M20" i="2" l="1"/>
  <c r="N20" i="2" s="1"/>
  <c r="N25" i="2" s="1"/>
  <c r="H37" i="2"/>
  <c r="H42" i="2" s="1"/>
  <c r="M11" i="2"/>
  <c r="N11" i="2" s="1"/>
  <c r="L25" i="2"/>
  <c r="L16" i="2"/>
  <c r="M12" i="2"/>
  <c r="N12" i="2" s="1"/>
  <c r="L33" i="2"/>
  <c r="M29" i="2"/>
  <c r="M33" i="2" s="1"/>
  <c r="M25" i="2" l="1"/>
  <c r="J37" i="2"/>
  <c r="N16" i="2"/>
  <c r="M16" i="2"/>
  <c r="K37" i="2" l="1"/>
  <c r="K42" i="2" s="1"/>
  <c r="J55" i="2" s="1"/>
  <c r="J42" i="2"/>
  <c r="I5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<sst xmlns="http://schemas.openxmlformats.org/spreadsheetml/2006/main" count="595" uniqueCount="218">
  <si>
    <t>Research Support Office</t>
  </si>
  <si>
    <t xml:space="preserve">Costing Support </t>
  </si>
  <si>
    <t>Instructions:</t>
  </si>
  <si>
    <t>Navigate to the Costs tab</t>
  </si>
  <si>
    <t>Complete information required in grey shaded fields</t>
  </si>
  <si>
    <t>Use drop down menus where available</t>
  </si>
  <si>
    <t>Then</t>
  </si>
  <si>
    <t>Contact the Research Support Team for further assistance before you submit your bid by clicking:</t>
  </si>
  <si>
    <t>Here</t>
  </si>
  <si>
    <t>Salary Scales:</t>
  </si>
  <si>
    <t>Professorial - Bespoke salary bands for Professors</t>
  </si>
  <si>
    <t>Grade 8 - Senior Lecturer, Reader or Senior Manager (this will default to an appropriate scale point)</t>
  </si>
  <si>
    <t>Grade 7 - Lecturer or Manager (this will default to an appropriate scale point)</t>
  </si>
  <si>
    <t>Grade 6 - Research Associate or Admin Team Leader (this will default to an appropriate scale point)</t>
  </si>
  <si>
    <t>Grade 5 - Research Assistant, Technician or Grade 5 Admin Support (this will default to an appropriate scale point)</t>
  </si>
  <si>
    <t>Grade 4 - Grade 4 Admin Support (this will default to an appropriate scale point)</t>
  </si>
  <si>
    <t>Notes:</t>
  </si>
  <si>
    <t>All non-pay costs must include VAT where appropriate</t>
  </si>
  <si>
    <t>Calculations assume start date of 01 January 2021</t>
  </si>
  <si>
    <t>Salary costs allow for 12,18, 24, 30 and 36 month projects only</t>
  </si>
  <si>
    <t>Salary figures allow for a 3.5% increase annually</t>
  </si>
  <si>
    <t>Annual (see assumptions)</t>
  </si>
  <si>
    <t>Annual</t>
  </si>
  <si>
    <t>OH Class</t>
  </si>
  <si>
    <t>Salary</t>
  </si>
  <si>
    <t>London Allowance</t>
  </si>
  <si>
    <t>London Allowance Calcs</t>
  </si>
  <si>
    <t>Dept</t>
  </si>
  <si>
    <t>Dept Name</t>
  </si>
  <si>
    <t>Rate type</t>
  </si>
  <si>
    <t>Grade</t>
  </si>
  <si>
    <t>Scale</t>
  </si>
  <si>
    <t>NI &amp; SA</t>
  </si>
  <si>
    <t>Total</t>
  </si>
  <si>
    <t>On Cost %</t>
  </si>
  <si>
    <t>Charge</t>
  </si>
  <si>
    <t>On-Cost</t>
  </si>
  <si>
    <t>Y1</t>
  </si>
  <si>
    <t>Y2</t>
  </si>
  <si>
    <t>Y3</t>
  </si>
  <si>
    <t>ADM4</t>
  </si>
  <si>
    <t>F13</t>
  </si>
  <si>
    <t>Months</t>
  </si>
  <si>
    <t>F14</t>
  </si>
  <si>
    <t>Rate</t>
  </si>
  <si>
    <t>F15</t>
  </si>
  <si>
    <t>Allowance</t>
  </si>
  <si>
    <t>F16</t>
  </si>
  <si>
    <t>F17</t>
  </si>
  <si>
    <t>F18</t>
  </si>
  <si>
    <t>F19</t>
  </si>
  <si>
    <t>SSA5</t>
  </si>
  <si>
    <t>F20</t>
  </si>
  <si>
    <t>Overhead Calculations</t>
  </si>
  <si>
    <t>F21</t>
  </si>
  <si>
    <t>Estates Class</t>
  </si>
  <si>
    <t>Estates Lab</t>
  </si>
  <si>
    <t>Infra Tech Class</t>
  </si>
  <si>
    <t>Infra Tech Lab</t>
  </si>
  <si>
    <t>Indirect</t>
  </si>
  <si>
    <t>F22</t>
  </si>
  <si>
    <t>F23</t>
  </si>
  <si>
    <t>F24</t>
  </si>
  <si>
    <t>Lab Based</t>
  </si>
  <si>
    <t>F25</t>
  </si>
  <si>
    <t>Non Lab</t>
  </si>
  <si>
    <t>F26</t>
  </si>
  <si>
    <t>SSA6</t>
  </si>
  <si>
    <t>F27</t>
  </si>
  <si>
    <t>F28</t>
  </si>
  <si>
    <t>London Allowance Annual</t>
  </si>
  <si>
    <t>F29</t>
  </si>
  <si>
    <t>F30</t>
  </si>
  <si>
    <t>F31</t>
  </si>
  <si>
    <t>F32</t>
  </si>
  <si>
    <t>F33</t>
  </si>
  <si>
    <t>F34</t>
  </si>
  <si>
    <t>F35</t>
  </si>
  <si>
    <t>F36</t>
  </si>
  <si>
    <t>SSA7</t>
  </si>
  <si>
    <t>F37</t>
  </si>
  <si>
    <t>F38</t>
  </si>
  <si>
    <t>F39</t>
  </si>
  <si>
    <t>F40</t>
  </si>
  <si>
    <t>F41</t>
  </si>
  <si>
    <t>F42</t>
  </si>
  <si>
    <t>F43</t>
  </si>
  <si>
    <t>SSA8</t>
  </si>
  <si>
    <t>F45</t>
  </si>
  <si>
    <t>F46</t>
  </si>
  <si>
    <t>F47</t>
  </si>
  <si>
    <t>F48</t>
  </si>
  <si>
    <t>F49</t>
  </si>
  <si>
    <t>Professorial</t>
  </si>
  <si>
    <t>Notes</t>
  </si>
  <si>
    <t>Salary updated 01/04/2020</t>
  </si>
  <si>
    <t>London allowance 2019 £3,204</t>
  </si>
  <si>
    <t>London allowance annual increase 2%</t>
  </si>
  <si>
    <t>WS</t>
  </si>
  <si>
    <t>Wolfson School</t>
  </si>
  <si>
    <t>LAB</t>
  </si>
  <si>
    <t>CF</t>
  </si>
  <si>
    <t>Centre for Child and Family Research</t>
  </si>
  <si>
    <t>CLASS</t>
  </si>
  <si>
    <t>AA</t>
  </si>
  <si>
    <t>Aero &amp; Automotive Engineering (AAE)</t>
  </si>
  <si>
    <t>BS</t>
  </si>
  <si>
    <t>Business School</t>
  </si>
  <si>
    <t>CG</t>
  </si>
  <si>
    <t>Chemical Engineering</t>
  </si>
  <si>
    <t>CM</t>
  </si>
  <si>
    <t>Chemistry</t>
  </si>
  <si>
    <t>CO</t>
  </si>
  <si>
    <t>Computer Science</t>
  </si>
  <si>
    <t>CV</t>
  </si>
  <si>
    <t>Civil &amp; Building Engineering</t>
  </si>
  <si>
    <t>DS</t>
  </si>
  <si>
    <t>Design &amp; Creative Arts</t>
  </si>
  <si>
    <t>HT</t>
  </si>
  <si>
    <t>English</t>
  </si>
  <si>
    <t>EC</t>
  </si>
  <si>
    <t>Economics</t>
  </si>
  <si>
    <t>EL</t>
  </si>
  <si>
    <t>Electrical &amp; Electronic Engineering</t>
  </si>
  <si>
    <t>GY</t>
  </si>
  <si>
    <t>Geography and Environment</t>
  </si>
  <si>
    <t>LC</t>
  </si>
  <si>
    <t>LISU (Claire Creaser)</t>
  </si>
  <si>
    <t>LD</t>
  </si>
  <si>
    <t>Arts</t>
  </si>
  <si>
    <t>MA</t>
  </si>
  <si>
    <t>Mathematical Sciences</t>
  </si>
  <si>
    <t>MP</t>
  </si>
  <si>
    <t>Materials</t>
  </si>
  <si>
    <t>PH</t>
  </si>
  <si>
    <t>Physics</t>
  </si>
  <si>
    <t>PI</t>
  </si>
  <si>
    <t>Politics and International Studies</t>
  </si>
  <si>
    <t>PS</t>
  </si>
  <si>
    <t>SSEHS</t>
  </si>
  <si>
    <t>SP</t>
  </si>
  <si>
    <t>Social and Policy Studies</t>
  </si>
  <si>
    <t>SS</t>
  </si>
  <si>
    <t>Communication &amp; Media</t>
  </si>
  <si>
    <t>WE</t>
  </si>
  <si>
    <t>WEDC</t>
  </si>
  <si>
    <t>EO</t>
  </si>
  <si>
    <t>Enterprise Office</t>
  </si>
  <si>
    <t>LL</t>
  </si>
  <si>
    <t>Loughborough in London</t>
  </si>
  <si>
    <t>DN (School Code) - Lab based</t>
  </si>
  <si>
    <t>AC (Creative Arts) - Lab based</t>
  </si>
  <si>
    <t>HT (English) - Classroom based</t>
  </si>
  <si>
    <t>CX (Communications and Media) - Classroom based</t>
  </si>
  <si>
    <t>Not Used</t>
  </si>
  <si>
    <t>Values correct for 01 January 2021 start</t>
  </si>
  <si>
    <t>Yes</t>
  </si>
  <si>
    <t>Research Council</t>
  </si>
  <si>
    <t>No</t>
  </si>
  <si>
    <t>Project Duration (Months)</t>
  </si>
  <si>
    <t>Research Assistants &amp; Research Associates</t>
  </si>
  <si>
    <t>Academic Staff</t>
  </si>
  <si>
    <t>Salary (annual)</t>
  </si>
  <si>
    <t>Salary (monthly)</t>
  </si>
  <si>
    <t>Salary ((monthly inflated)</t>
  </si>
  <si>
    <t>Role</t>
  </si>
  <si>
    <t>Department</t>
  </si>
  <si>
    <t>FTE</t>
  </si>
  <si>
    <t>Overheads</t>
  </si>
  <si>
    <t>OH</t>
  </si>
  <si>
    <t>OH Annual</t>
  </si>
  <si>
    <t>NI SA (Annual)</t>
  </si>
  <si>
    <t>London</t>
  </si>
  <si>
    <t>NI SA (monthly)</t>
  </si>
  <si>
    <t>London (Monthly)</t>
  </si>
  <si>
    <t>Salary (inflated</t>
  </si>
  <si>
    <t>NI SA Inflated</t>
  </si>
  <si>
    <t>London (inflated)</t>
  </si>
  <si>
    <t>Research Assistant</t>
  </si>
  <si>
    <t>Professorial Staff</t>
  </si>
  <si>
    <t>Non-Academic Staff</t>
  </si>
  <si>
    <t>Non-Pay</t>
  </si>
  <si>
    <t>Item</t>
  </si>
  <si>
    <t>Description</t>
  </si>
  <si>
    <t>Cost (per unit inc VAT)</t>
  </si>
  <si>
    <t>Units</t>
  </si>
  <si>
    <t>Project Total</t>
  </si>
  <si>
    <t>GradeA</t>
  </si>
  <si>
    <t>GradeAd</t>
  </si>
  <si>
    <t>GradeR</t>
  </si>
  <si>
    <t>Grade 4</t>
  </si>
  <si>
    <t>Grade 5</t>
  </si>
  <si>
    <t>Grade 6</t>
  </si>
  <si>
    <t>Grade 7</t>
  </si>
  <si>
    <t>Grade 8</t>
  </si>
  <si>
    <t>YesNo</t>
  </si>
  <si>
    <t>Acad</t>
  </si>
  <si>
    <t>Support</t>
  </si>
  <si>
    <t>Duration</t>
  </si>
  <si>
    <t>Inflation</t>
  </si>
  <si>
    <t>OH Index</t>
  </si>
  <si>
    <t>Consumables</t>
  </si>
  <si>
    <t>Lecturer</t>
  </si>
  <si>
    <t>Assistant</t>
  </si>
  <si>
    <t>Equipment</t>
  </si>
  <si>
    <t>Research Associate</t>
  </si>
  <si>
    <t>Senior Lecturer</t>
  </si>
  <si>
    <t>Officer</t>
  </si>
  <si>
    <t>Travel</t>
  </si>
  <si>
    <t>Professor</t>
  </si>
  <si>
    <t>Team Leader</t>
  </si>
  <si>
    <t>Technician</t>
  </si>
  <si>
    <t>Manager</t>
  </si>
  <si>
    <t>Senior Manager</t>
  </si>
  <si>
    <t>Inflation Rate</t>
  </si>
  <si>
    <t>Dates</t>
  </si>
  <si>
    <t>Today</t>
  </si>
  <si>
    <t>Expiry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</si>
</sst>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</cellStyleXfs>
  <cellXfs count="96">
    <xf numFmtId="0" fontId="0" fillId="0" borderId="0" xfId="0"/>
    <xf numFmtId="0" fontId="1" fillId="0" borderId="0" xfId="0" applyFont="1" applyProtection="1"/>
    <xf numFmtId="0" fontId="0" fillId="0" borderId="0" xfId="0" applyProtection="1"/>
    <xf numFmtId="164" fontId="0" fillId="0" borderId="1" xfId="0" applyNumberFormat="1" applyBorder="1" applyProtection="1"/>
    <xf numFmtId="0" fontId="1" fillId="0" borderId="1" xfId="0" applyFont="1" applyBorder="1" applyProtection="1"/>
    <xf numFmtId="0" fontId="1" fillId="0" borderId="0" xfId="0" applyFont="1" applyBorder="1" applyAlignment="1" applyProtection="1"/>
    <xf numFmtId="0" fontId="1" fillId="0" borderId="0" xfId="0" applyFont="1" applyBorder="1" applyProtection="1"/>
    <xf numFmtId="164" fontId="0" fillId="0" borderId="0" xfId="0" applyNumberFormat="1" applyProtection="1"/>
    <xf numFmtId="164" fontId="0" fillId="0" borderId="9" xfId="0" applyNumberFormat="1" applyBorder="1" applyProtection="1"/>
    <xf numFmtId="164" fontId="0" fillId="0" borderId="0" xfId="0" applyNumberFormat="1" applyBorder="1" applyProtection="1"/>
    <xf numFmtId="164" fontId="1" fillId="0" borderId="9" xfId="0" applyNumberFormat="1" applyFont="1" applyBorder="1" applyProtection="1"/>
    <xf numFmtId="0" fontId="1" fillId="0" borderId="11" xfId="0" applyFont="1" applyBorder="1" applyProtection="1"/>
    <xf numFmtId="0" fontId="0" fillId="0" borderId="1" xfId="0" applyBorder="1" applyProtection="1"/>
    <xf numFmtId="164" fontId="0" fillId="0" borderId="1" xfId="0" applyNumberFormat="1" applyFill="1" applyBorder="1" applyProtection="1"/>
    <xf numFmtId="164" fontId="0" fillId="0" borderId="0" xfId="0" applyNumberFormat="1" applyFill="1" applyBorder="1" applyProtection="1"/>
    <xf numFmtId="0" fontId="1" fillId="0" borderId="1" xfId="0" applyFont="1" applyFill="1" applyBorder="1" applyProtection="1"/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/>
    <xf numFmtId="0" fontId="0" fillId="0" borderId="0" xfId="0" applyFill="1"/>
    <xf numFmtId="0" fontId="4" fillId="0" borderId="0" xfId="1" applyProtection="1">
      <protection locked="0"/>
    </xf>
    <xf numFmtId="0" fontId="0" fillId="0" borderId="0" xfId="0" applyBorder="1" applyAlignment="1" applyProtection="1"/>
    <xf numFmtId="0" fontId="1" fillId="0" borderId="0" xfId="0" applyFont="1" applyFill="1" applyBorder="1" applyProtection="1"/>
    <xf numFmtId="3" fontId="0" fillId="2" borderId="1" xfId="0" applyNumberFormat="1" applyFill="1" applyBorder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10" fontId="0" fillId="0" borderId="1" xfId="0" applyNumberFormat="1" applyFill="1" applyBorder="1" applyProtection="1"/>
    <xf numFmtId="0" fontId="1" fillId="0" borderId="10" xfId="0" applyFont="1" applyBorder="1" applyProtection="1"/>
    <xf numFmtId="0" fontId="1" fillId="0" borderId="1" xfId="0" applyFont="1" applyBorder="1" applyAlignment="1" applyProtection="1">
      <alignment horizontal="left"/>
    </xf>
    <xf numFmtId="165" fontId="1" fillId="0" borderId="1" xfId="0" applyNumberFormat="1" applyFont="1" applyBorder="1" applyAlignment="1" applyProtection="1">
      <alignment horizontal="left"/>
    </xf>
    <xf numFmtId="165" fontId="0" fillId="0" borderId="1" xfId="0" applyNumberForma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" xfId="0" applyFont="1" applyBorder="1"/>
    <xf numFmtId="164" fontId="1" fillId="0" borderId="0" xfId="0" applyNumberFormat="1" applyFont="1" applyBorder="1" applyProtection="1"/>
    <xf numFmtId="0" fontId="0" fillId="0" borderId="6" xfId="0" applyBorder="1" applyProtection="1"/>
    <xf numFmtId="0" fontId="0" fillId="0" borderId="1" xfId="0" applyFill="1" applyBorder="1" applyProtection="1"/>
    <xf numFmtId="165" fontId="0" fillId="2" borderId="1" xfId="0" applyNumberFormat="1" applyFill="1" applyBorder="1" applyProtection="1">
      <protection locked="0"/>
    </xf>
    <xf numFmtId="165" fontId="0" fillId="0" borderId="1" xfId="0" applyNumberFormat="1" applyFill="1" applyBorder="1" applyProtection="1"/>
    <xf numFmtId="165" fontId="1" fillId="0" borderId="9" xfId="0" applyNumberFormat="1" applyFont="1" applyBorder="1" applyProtection="1"/>
    <xf numFmtId="14" fontId="0" fillId="0" borderId="1" xfId="0" applyNumberFormat="1" applyBorder="1" applyProtection="1"/>
    <xf numFmtId="165" fontId="1" fillId="0" borderId="0" xfId="0" applyNumberFormat="1" applyFont="1" applyBorder="1" applyProtection="1"/>
    <xf numFmtId="165" fontId="0" fillId="0" borderId="0" xfId="0" applyNumberFormat="1" applyFill="1" applyBorder="1" applyProtection="1"/>
    <xf numFmtId="0" fontId="0" fillId="0" borderId="0" xfId="0" applyBorder="1" applyProtection="1"/>
    <xf numFmtId="165" fontId="0" fillId="3" borderId="1" xfId="0" applyNumberFormat="1" applyFill="1" applyBorder="1" applyProtection="1"/>
    <xf numFmtId="0" fontId="0" fillId="0" borderId="11" xfId="0" applyBorder="1" applyProtection="1"/>
    <xf numFmtId="0" fontId="0" fillId="0" borderId="0" xfId="0" applyAlignment="1">
      <alignment vertical="center"/>
    </xf>
    <xf numFmtId="0" fontId="0" fillId="4" borderId="0" xfId="0" applyFill="1" applyProtection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164" fontId="1" fillId="0" borderId="9" xfId="0" applyNumberFormat="1" applyFont="1" applyFill="1" applyBorder="1" applyProtection="1"/>
    <xf numFmtId="0" fontId="1" fillId="5" borderId="1" xfId="0" applyFont="1" applyFill="1" applyBorder="1" applyAlignment="1" applyProtection="1">
      <alignment horizontal="left"/>
    </xf>
    <xf numFmtId="164" fontId="0" fillId="5" borderId="1" xfId="0" applyNumberFormat="1" applyFill="1" applyBorder="1" applyProtection="1"/>
    <xf numFmtId="0" fontId="1" fillId="5" borderId="1" xfId="0" applyFont="1" applyFill="1" applyBorder="1" applyProtection="1"/>
    <xf numFmtId="165" fontId="1" fillId="5" borderId="1" xfId="0" applyNumberFormat="1" applyFont="1" applyFill="1" applyBorder="1" applyAlignment="1" applyProtection="1">
      <alignment horizontal="left"/>
    </xf>
    <xf numFmtId="165" fontId="0" fillId="5" borderId="1" xfId="0" applyNumberFormat="1" applyFill="1" applyBorder="1" applyProtection="1"/>
    <xf numFmtId="0" fontId="0" fillId="5" borderId="0" xfId="0" applyFill="1" applyProtection="1"/>
    <xf numFmtId="0" fontId="1" fillId="0" borderId="1" xfId="0" applyFont="1" applyFill="1" applyBorder="1"/>
    <xf numFmtId="10" fontId="1" fillId="0" borderId="1" xfId="0" applyNumberFormat="1" applyFont="1" applyBorder="1" applyProtection="1"/>
    <xf numFmtId="2" fontId="1" fillId="0" borderId="1" xfId="0" applyNumberFormat="1" applyFont="1" applyBorder="1" applyProtection="1"/>
    <xf numFmtId="10" fontId="1" fillId="0" borderId="0" xfId="0" applyNumberFormat="1" applyFont="1" applyProtection="1"/>
    <xf numFmtId="0" fontId="1" fillId="2" borderId="1" xfId="0" applyFont="1" applyFill="1" applyBorder="1" applyProtection="1"/>
    <xf numFmtId="164" fontId="0" fillId="0" borderId="1" xfId="0" applyNumberFormat="1" applyFill="1" applyBorder="1" applyAlignment="1" applyProtection="1">
      <alignment horizontal="left"/>
    </xf>
    <xf numFmtId="0" fontId="0" fillId="3" borderId="1" xfId="0" applyFill="1" applyBorder="1" applyProtection="1"/>
    <xf numFmtId="164" fontId="0" fillId="0" borderId="0" xfId="0" applyNumberFormat="1" applyFill="1" applyBorder="1" applyAlignment="1" applyProtection="1">
      <alignment horizontal="left"/>
    </xf>
    <xf numFmtId="0" fontId="0" fillId="3" borderId="0" xfId="0" applyFill="1" applyBorder="1" applyProtection="1"/>
    <xf numFmtId="0" fontId="1" fillId="0" borderId="6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4" xfId="0" applyFont="1" applyBorder="1" applyAlignment="1" applyProtection="1"/>
    <xf numFmtId="0" fontId="0" fillId="2" borderId="4" xfId="0" applyFill="1" applyBorder="1" applyAlignment="1" applyProtection="1"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0" fillId="0" borderId="1" xfId="0" applyBorder="1" applyAlignment="1" applyProtection="1"/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4" xfId="0" applyBorder="1" applyAlignment="1" applyProtection="1"/>
    <xf numFmtId="0" fontId="0" fillId="0" borderId="2" xfId="0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" fillId="0" borderId="2" xfId="0" applyFont="1" applyBorder="1" applyAlignment="1" applyProtection="1"/>
    <xf numFmtId="0" fontId="1" fillId="0" borderId="4" xfId="0" applyFont="1" applyBorder="1" applyAlignment="1" applyProtection="1"/>
    <xf numFmtId="0" fontId="0" fillId="0" borderId="4" xfId="0" applyBorder="1" applyAlignme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</cellXfs>
  <cellStyles count="4">
    <cellStyle name="Flashing" xfId="3" xr:uid="{55CE076D-1D4B-4EDA-AC98-D0C9675501A3}"/>
    <cellStyle name="Hyperlink" xfId="1" builtinId="8"/>
    <cellStyle name="Normal" xfId="0" builtinId="0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371475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2FC39-00FE-4337-98EE-02BF2426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ms.office.com/Pages/ResponsePage.aspx?id=wE8mz7iun0SQVILORFQISzkxrtE7pnRCu3XLjYX_hSxUNFdENE1GRDBQMEw4WUpHTktWMVI3V0xIUC4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8E84-581B-4E32-9F67-AAF55F5A4FE5}">
  <sheetPr codeName="Sheet1"/>
  <dimension ref="B1:N31"/>
  <sheetViews>
    <sheetView showGridLines="0" tabSelected="1" workbookViewId="0">
      <selection activeCell="B14" sqref="B14"/>
    </sheetView>
  </sheetViews>
  <sheetFormatPr defaultRowHeight="15" x14ac:dyDescent="0.25"/>
  <cols>
    <col min="1" max="1" width="3.7109375" customWidth="1"/>
    <col min="13" max="13" width="4.7109375" customWidth="1"/>
  </cols>
  <sheetData>
    <row r="1" spans="2:14" ht="5.0999999999999996" customHeight="1" x14ac:dyDescent="0.25"/>
    <row r="6" spans="2:14" ht="18.75" x14ac:dyDescent="0.3">
      <c r="B6" s="18" t="s">
        <v>0</v>
      </c>
    </row>
    <row r="8" spans="2:14" ht="18.75" x14ac:dyDescent="0.3">
      <c r="B8" s="18" t="s">
        <v>1</v>
      </c>
    </row>
    <row r="10" spans="2:14" x14ac:dyDescent="0.25">
      <c r="B10" s="1" t="s">
        <v>2</v>
      </c>
      <c r="C10" s="2"/>
      <c r="D10" s="2" t="s">
        <v>3</v>
      </c>
      <c r="E10" s="2"/>
      <c r="F10" s="2"/>
      <c r="G10" s="2"/>
      <c r="H10" s="2"/>
      <c r="I10" s="2"/>
      <c r="J10" s="2"/>
    </row>
    <row r="11" spans="2:14" x14ac:dyDescent="0.25">
      <c r="B11" s="2"/>
      <c r="C11" s="2"/>
      <c r="D11" s="2" t="s">
        <v>4</v>
      </c>
      <c r="E11" s="2"/>
      <c r="F11" s="2"/>
      <c r="G11" s="2"/>
      <c r="H11" s="2"/>
      <c r="I11" s="2"/>
      <c r="J11" s="2"/>
    </row>
    <row r="12" spans="2:14" x14ac:dyDescent="0.25">
      <c r="B12" s="2"/>
      <c r="C12" s="2"/>
      <c r="D12" s="2" t="s">
        <v>5</v>
      </c>
      <c r="E12" s="2"/>
      <c r="F12" s="2"/>
      <c r="G12" s="2"/>
      <c r="H12" s="2"/>
      <c r="I12" s="2"/>
      <c r="J12" s="2"/>
    </row>
    <row r="13" spans="2:14" ht="7.5" customHeight="1" x14ac:dyDescent="0.25">
      <c r="B13" s="2"/>
      <c r="C13" s="2"/>
      <c r="D13" s="2"/>
      <c r="E13" s="2"/>
      <c r="F13" s="2"/>
      <c r="G13" s="2"/>
      <c r="H13" s="2"/>
      <c r="I13" s="2"/>
      <c r="J13" s="2"/>
    </row>
    <row r="14" spans="2:14" x14ac:dyDescent="0.25">
      <c r="B14" s="1"/>
      <c r="C14" s="2"/>
      <c r="D14" s="1" t="s">
        <v>6</v>
      </c>
      <c r="E14" s="2"/>
      <c r="F14" s="2"/>
      <c r="G14" s="2"/>
      <c r="H14" s="2"/>
      <c r="I14" s="2"/>
      <c r="J14" s="2"/>
    </row>
    <row r="15" spans="2:14" ht="7.5" customHeight="1" x14ac:dyDescent="0.25">
      <c r="B15" s="1"/>
      <c r="C15" s="2"/>
      <c r="D15" s="2"/>
      <c r="E15" s="2"/>
      <c r="F15" s="2"/>
      <c r="G15" s="2"/>
      <c r="H15" s="2"/>
      <c r="I15" s="2"/>
      <c r="J15" s="2"/>
    </row>
    <row r="16" spans="2:14" x14ac:dyDescent="0.25">
      <c r="B16" s="1"/>
      <c r="C16" s="2"/>
      <c r="D16" s="19" t="s">
        <v>7</v>
      </c>
      <c r="E16" s="2"/>
      <c r="F16" s="2"/>
      <c r="G16" s="2"/>
      <c r="H16" s="2"/>
      <c r="I16" s="2"/>
      <c r="J16" s="2"/>
      <c r="N16" s="20" t="s">
        <v>8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25">
      <c r="B18" s="1" t="s">
        <v>9</v>
      </c>
      <c r="C18" s="2"/>
      <c r="D18" s="2" t="s">
        <v>10</v>
      </c>
      <c r="E18" s="2"/>
      <c r="F18" s="2"/>
      <c r="G18" s="2"/>
      <c r="H18" s="2"/>
      <c r="I18" s="2"/>
      <c r="J18" s="2"/>
    </row>
    <row r="19" spans="2:10" x14ac:dyDescent="0.25">
      <c r="B19" s="2"/>
      <c r="C19" s="2"/>
      <c r="D19" s="2" t="s">
        <v>11</v>
      </c>
      <c r="E19" s="2"/>
      <c r="F19" s="2"/>
      <c r="G19" s="2"/>
      <c r="H19" s="2"/>
      <c r="I19" s="2"/>
      <c r="J19" s="2"/>
    </row>
    <row r="20" spans="2:10" x14ac:dyDescent="0.25">
      <c r="B20" s="1"/>
      <c r="C20" s="2"/>
      <c r="D20" s="2" t="s">
        <v>12</v>
      </c>
      <c r="E20" s="2"/>
      <c r="F20" s="2"/>
      <c r="G20" s="2"/>
      <c r="H20" s="2"/>
      <c r="I20" s="2"/>
      <c r="J20" s="2"/>
    </row>
    <row r="21" spans="2:10" x14ac:dyDescent="0.25">
      <c r="D21" s="2" t="s">
        <v>13</v>
      </c>
    </row>
    <row r="22" spans="2:10" x14ac:dyDescent="0.25">
      <c r="D22" s="2" t="s">
        <v>14</v>
      </c>
    </row>
    <row r="23" spans="2:10" x14ac:dyDescent="0.25">
      <c r="D23" s="2" t="s">
        <v>15</v>
      </c>
    </row>
    <row r="24" spans="2:10" x14ac:dyDescent="0.25">
      <c r="D24" s="2"/>
    </row>
    <row r="25" spans="2:10" x14ac:dyDescent="0.25">
      <c r="D25" s="2"/>
    </row>
    <row r="26" spans="2:10" x14ac:dyDescent="0.25">
      <c r="B26" s="1" t="s">
        <v>16</v>
      </c>
      <c r="D26" t="s">
        <v>17</v>
      </c>
    </row>
    <row r="27" spans="2:10" x14ac:dyDescent="0.25">
      <c r="D27" t="s">
        <v>18</v>
      </c>
    </row>
    <row r="28" spans="2:10" x14ac:dyDescent="0.25">
      <c r="D28" t="s">
        <v>19</v>
      </c>
    </row>
    <row r="29" spans="2:10" x14ac:dyDescent="0.25">
      <c r="D29" s="2" t="s">
        <v>20</v>
      </c>
    </row>
    <row r="30" spans="2:10" ht="7.5" customHeight="1" x14ac:dyDescent="0.25"/>
    <row r="31" spans="2:10" x14ac:dyDescent="0.25">
      <c r="B31" s="2"/>
    </row>
  </sheetData>
  <sheetProtection algorithmName="SHA-512" hashValue="ZYWPm0e0au/uArw17p4mV9TNdQYLmVCLScUvnG8pzUJMQGQkmIKer6GdSFqf50Xc64dpd196pHSeo66lSU6xJg==" saltValue="AdNl4xom7qeBaLwK8CIRng==" spinCount="100000" sheet="1" objects="1" scenarios="1"/>
  <hyperlinks>
    <hyperlink ref="N16" r:id="rId1" xr:uid="{08AD6A79-386F-4D44-94E1-D19E3C4263F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80D7-DB51-4E8B-A861-1EF346E0A122}">
  <sheetPr codeName="Sheet3"/>
  <dimension ref="A2:W52"/>
  <sheetViews>
    <sheetView showGridLines="0" topLeftCell="B1" zoomScale="90" zoomScaleNormal="90" workbookViewId="0">
      <selection activeCell="C5" sqref="C5"/>
    </sheetView>
  </sheetViews>
  <sheetFormatPr defaultColWidth="9.140625" defaultRowHeight="15" x14ac:dyDescent="0.25"/>
  <cols>
    <col min="1" max="1" width="13" style="2" customWidth="1"/>
    <col min="2" max="2" width="9.140625" style="2"/>
    <col min="3" max="5" width="12" style="2" bestFit="1" customWidth="1"/>
    <col min="6" max="6" width="1.7109375" style="2" customWidth="1"/>
    <col min="7" max="8" width="3.7109375" style="2" customWidth="1"/>
    <col min="9" max="12" width="9.85546875" style="2" bestFit="1" customWidth="1"/>
    <col min="13" max="13" width="3.7109375" style="2" customWidth="1"/>
    <col min="14" max="14" width="10.28515625" style="2" bestFit="1" customWidth="1"/>
    <col min="15" max="15" width="13" style="2" customWidth="1"/>
    <col min="16" max="19" width="11" style="2" bestFit="1" customWidth="1"/>
    <col min="20" max="21" width="9.140625" style="2"/>
    <col min="22" max="22" width="54.42578125" style="2" bestFit="1" customWidth="1"/>
    <col min="23" max="16384" width="9.140625" style="2"/>
  </cols>
  <sheetData>
    <row r="2" spans="1:23" x14ac:dyDescent="0.25">
      <c r="B2" s="74" t="s">
        <v>21</v>
      </c>
      <c r="C2" s="75"/>
      <c r="D2" s="75"/>
      <c r="E2" s="76"/>
      <c r="F2" s="24"/>
      <c r="I2" s="74" t="s">
        <v>22</v>
      </c>
      <c r="J2" s="82"/>
      <c r="K2" s="82"/>
      <c r="L2" s="84"/>
      <c r="U2" s="77" t="s">
        <v>23</v>
      </c>
      <c r="V2" s="78"/>
      <c r="W2" s="78"/>
    </row>
    <row r="3" spans="1:23" x14ac:dyDescent="0.25">
      <c r="B3" s="71" t="s">
        <v>24</v>
      </c>
      <c r="C3" s="72"/>
      <c r="D3" s="72"/>
      <c r="E3" s="73"/>
      <c r="I3" s="74" t="s">
        <v>25</v>
      </c>
      <c r="J3" s="82"/>
      <c r="K3" s="82"/>
      <c r="L3" s="84"/>
      <c r="N3" s="74" t="s">
        <v>26</v>
      </c>
      <c r="O3" s="82"/>
      <c r="P3" s="82"/>
      <c r="Q3" s="83"/>
      <c r="U3" s="33" t="s">
        <v>27</v>
      </c>
      <c r="V3" s="33" t="s">
        <v>28</v>
      </c>
      <c r="W3" s="33" t="s">
        <v>29</v>
      </c>
    </row>
    <row r="4" spans="1:23" x14ac:dyDescent="0.25">
      <c r="A4" s="4" t="s">
        <v>30</v>
      </c>
      <c r="B4" s="4" t="s">
        <v>31</v>
      </c>
      <c r="C4" s="4" t="s">
        <v>24</v>
      </c>
      <c r="D4" s="4" t="s">
        <v>32</v>
      </c>
      <c r="E4" s="4" t="s">
        <v>33</v>
      </c>
      <c r="F4" s="1"/>
      <c r="I4" s="25" t="s">
        <v>34</v>
      </c>
      <c r="J4" s="25" t="s">
        <v>35</v>
      </c>
      <c r="K4" s="15" t="s">
        <v>36</v>
      </c>
      <c r="L4" s="15" t="s">
        <v>33</v>
      </c>
      <c r="N4" s="12"/>
      <c r="O4" s="26" t="s">
        <v>37</v>
      </c>
      <c r="P4" s="68" t="s">
        <v>38</v>
      </c>
      <c r="Q4" s="26" t="s">
        <v>39</v>
      </c>
      <c r="U4" s="3" t="e">
        <f ca="1">IF(Lists!$C$26&lt;Lists!$C$27,'Raw Data'!#REF!,"")</f>
        <v>#REF!</v>
      </c>
      <c r="V4" s="3" t="e">
        <f ca="1">IF(Lists!$C$26&lt;Lists!$C$27,'Raw Data'!#REF!,"")</f>
        <v>#REF!</v>
      </c>
      <c r="W4" s="3" t="e">
        <f ca="1">IF(Lists!$C$26&lt;Lists!$C$27,'Raw Data'!#REF!,"")</f>
        <v>#REF!</v>
      </c>
    </row>
    <row r="5" spans="1:23" x14ac:dyDescent="0.25">
      <c r="A5" s="4" t="s">
        <v>40</v>
      </c>
      <c r="B5" s="4" t="s">
        <v>41</v>
      </c>
      <c r="C5" s="3">
        <f ca="1">IF(Lists!$C$26&lt;Lists!$C$27,'Raw Data'!C5,"")</f>
        <v>21398.080000000002</v>
      </c>
      <c r="D5" s="3">
        <f ca="1">IF(Lists!$C$26&lt;Lists!$C$27,'Raw Data'!D5,"")</f>
        <v>6353.14</v>
      </c>
      <c r="E5" s="3">
        <f ca="1">IF(Lists!$C$26&lt;Lists!$C$27,'Raw Data'!E5,"")</f>
        <v>27751.22</v>
      </c>
      <c r="F5" s="1"/>
      <c r="I5" s="27">
        <f ca="1">IF(Lists!$C$26&lt;Lists!$C$27,'Raw Data'!I5,"")</f>
        <v>0.22893191722742279</v>
      </c>
      <c r="J5" s="3">
        <f ca="1">IF(Lists!$C$26&lt;Lists!$C$27,'Raw Data'!J5,"")</f>
        <v>3204</v>
      </c>
      <c r="K5" s="3">
        <f ca="1">IF(Lists!$C$26&lt;Lists!$C$27,'Raw Data'!K5,"")</f>
        <v>733.49786279666262</v>
      </c>
      <c r="L5" s="3">
        <f ca="1">IF(Lists!$C$26&lt;Lists!$C$27,'Raw Data'!L5,"")</f>
        <v>3937.4978627966625</v>
      </c>
      <c r="N5" s="12" t="s">
        <v>42</v>
      </c>
      <c r="O5" s="12">
        <v>11</v>
      </c>
      <c r="P5" s="12">
        <v>12</v>
      </c>
      <c r="Q5" s="12">
        <v>1</v>
      </c>
      <c r="U5" s="3" t="str">
        <f ca="1">IF(Lists!$C$26&lt;Lists!$C$27,'Raw Data'!U4,"")</f>
        <v>WS</v>
      </c>
      <c r="V5" s="3" t="str">
        <f ca="1">IF(Lists!$C$26&lt;Lists!$C$27,'Raw Data'!V4,"")</f>
        <v>Wolfson School</v>
      </c>
      <c r="W5" s="3" t="str">
        <f ca="1">IF(Lists!$C$26&lt;Lists!$C$27,'Raw Data'!W4,"")</f>
        <v>LAB</v>
      </c>
    </row>
    <row r="6" spans="1:23" x14ac:dyDescent="0.25">
      <c r="A6" s="4" t="s">
        <v>40</v>
      </c>
      <c r="B6" s="4" t="s">
        <v>43</v>
      </c>
      <c r="C6" s="3">
        <f ca="1">IF(Lists!$C$26&lt;Lists!$C$27,'Raw Data'!C6,"")</f>
        <v>21978.86</v>
      </c>
      <c r="D6" s="3">
        <f ca="1">IF(Lists!$C$26&lt;Lists!$C$27,'Raw Data'!D6,"")</f>
        <v>6558.16</v>
      </c>
      <c r="E6" s="3">
        <f ca="1">IF(Lists!$C$26&lt;Lists!$C$27,'Raw Data'!E6,"")</f>
        <v>28537.02</v>
      </c>
      <c r="F6" s="1"/>
      <c r="I6" s="27">
        <f ca="1">IF(Lists!$C$26&lt;Lists!$C$27,'Raw Data'!I6,"")</f>
        <v>0.22981236302879557</v>
      </c>
      <c r="J6" s="3">
        <f ca="1">IF(Lists!$C$26&lt;Lists!$C$27,'Raw Data'!J6,"")</f>
        <v>3204</v>
      </c>
      <c r="K6" s="3">
        <f ca="1">IF(Lists!$C$26&lt;Lists!$C$27,'Raw Data'!K6,"")</f>
        <v>736.31881114426096</v>
      </c>
      <c r="L6" s="3">
        <f ca="1">IF(Lists!$C$26&lt;Lists!$C$27,'Raw Data'!L6,"")</f>
        <v>3940.318811144261</v>
      </c>
      <c r="N6" s="12" t="s">
        <v>44</v>
      </c>
      <c r="O6" s="12">
        <f ca="1">IF(Lists!$C$26&lt;Lists!$C$27,'Raw Data'!O6,"")</f>
        <v>1.02</v>
      </c>
      <c r="P6" s="12">
        <f ca="1">IF(Lists!$C$26&lt;Lists!$C$27,'Raw Data'!P6,"")</f>
        <v>1.0404</v>
      </c>
      <c r="Q6" s="12">
        <f ca="1">IF(Lists!$C$26&lt;Lists!$C$27,'Raw Data'!Q6,"")</f>
        <v>1.0612079999999999</v>
      </c>
      <c r="U6" s="3" t="str">
        <f ca="1">IF(Lists!$C$26&lt;Lists!$C$27,'Raw Data'!U5,"")</f>
        <v>CF</v>
      </c>
      <c r="V6" s="3" t="str">
        <f ca="1">IF(Lists!$C$26&lt;Lists!$C$27,'Raw Data'!V5,"")</f>
        <v>Centre for Child and Family Research</v>
      </c>
      <c r="W6" s="3" t="str">
        <f ca="1">IF(Lists!$C$26&lt;Lists!$C$27,'Raw Data'!W5,"")</f>
        <v>CLASS</v>
      </c>
    </row>
    <row r="7" spans="1:23" x14ac:dyDescent="0.25">
      <c r="A7" s="4" t="s">
        <v>40</v>
      </c>
      <c r="B7" s="4" t="s">
        <v>45</v>
      </c>
      <c r="C7" s="3">
        <f ca="1">IF(Lists!$C$26&lt;Lists!$C$27,'Raw Data'!C7,"")</f>
        <v>22577.91</v>
      </c>
      <c r="D7" s="3">
        <f ca="1">IF(Lists!$C$26&lt;Lists!$C$27,'Raw Data'!D7,"")</f>
        <v>6769.62</v>
      </c>
      <c r="E7" s="3">
        <f ca="1">IF(Lists!$C$26&lt;Lists!$C$27,'Raw Data'!E7,"")</f>
        <v>29347.53</v>
      </c>
      <c r="F7" s="1"/>
      <c r="I7" s="27">
        <f ca="1">IF(Lists!$C$26&lt;Lists!$C$27,'Raw Data'!I7,"")</f>
        <v>0.23067086054601529</v>
      </c>
      <c r="J7" s="3">
        <f ca="1">IF(Lists!$C$26&lt;Lists!$C$27,'Raw Data'!J7,"")</f>
        <v>3204</v>
      </c>
      <c r="K7" s="3">
        <f ca="1">IF(Lists!$C$26&lt;Lists!$C$27,'Raw Data'!K7,"")</f>
        <v>739.06943718943296</v>
      </c>
      <c r="L7" s="3">
        <f ca="1">IF(Lists!$C$26&lt;Lists!$C$27,'Raw Data'!L7,"")</f>
        <v>3943.0694371894328</v>
      </c>
      <c r="N7" s="12" t="s">
        <v>46</v>
      </c>
      <c r="O7" s="3">
        <f ca="1">IF(Lists!$C$26&lt;Lists!$C$27,'Raw Data'!O7,"")</f>
        <v>3204</v>
      </c>
      <c r="P7" s="3">
        <f ca="1">IF(Lists!$C$26&lt;Lists!$C$27,'Raw Data'!P7,"")</f>
        <v>3333.4416000000001</v>
      </c>
      <c r="Q7" s="3">
        <f ca="1">IF(Lists!$C$26&lt;Lists!$C$27,'Raw Data'!Q7,"")</f>
        <v>3400.1104319999999</v>
      </c>
      <c r="U7" s="3" t="str">
        <f ca="1">IF(Lists!$C$26&lt;Lists!$C$27,'Raw Data'!U6,"")</f>
        <v>AA</v>
      </c>
      <c r="V7" s="3" t="str">
        <f ca="1">IF(Lists!$C$26&lt;Lists!$C$27,'Raw Data'!V6,"")</f>
        <v>Aero &amp; Automotive Engineering (AAE)</v>
      </c>
      <c r="W7" s="3" t="str">
        <f ca="1">IF(Lists!$C$26&lt;Lists!$C$27,'Raw Data'!W6,"")</f>
        <v>LAB</v>
      </c>
    </row>
    <row r="8" spans="1:23" x14ac:dyDescent="0.25">
      <c r="A8" s="4" t="s">
        <v>40</v>
      </c>
      <c r="B8" s="4" t="s">
        <v>47</v>
      </c>
      <c r="C8" s="3">
        <f ca="1">IF(Lists!$C$26&lt;Lists!$C$27,'Raw Data'!C8,"")</f>
        <v>23204.71</v>
      </c>
      <c r="D8" s="3">
        <f ca="1">IF(Lists!$C$26&lt;Lists!$C$27,'Raw Data'!D8,"")</f>
        <v>6990.89</v>
      </c>
      <c r="E8" s="3">
        <f ca="1">IF(Lists!$C$26&lt;Lists!$C$27,'Raw Data'!E8,"")</f>
        <v>30195.599999999999</v>
      </c>
      <c r="F8" s="1"/>
      <c r="I8" s="27">
        <f ca="1">IF(Lists!$C$26&lt;Lists!$C$27,'Raw Data'!I8,"")</f>
        <v>0.23152015525440794</v>
      </c>
      <c r="J8" s="3">
        <f ca="1">IF(Lists!$C$26&lt;Lists!$C$27,'Raw Data'!J8,"")</f>
        <v>3204</v>
      </c>
      <c r="K8" s="3">
        <f ca="1">IF(Lists!$C$26&lt;Lists!$C$27,'Raw Data'!K8,"")</f>
        <v>741.79057743512305</v>
      </c>
      <c r="L8" s="3">
        <f ca="1">IF(Lists!$C$26&lt;Lists!$C$27,'Raw Data'!L8,"")</f>
        <v>3945.7905774351229</v>
      </c>
      <c r="N8" s="12" t="s">
        <v>33</v>
      </c>
      <c r="O8" s="3">
        <f ca="1">IF(Lists!$C$26&lt;Lists!$C$27,'Raw Data'!O8,"")</f>
        <v>2937</v>
      </c>
      <c r="P8" s="3">
        <f ca="1">IF(Lists!$C$26&lt;Lists!$C$27,'Raw Data'!P8,"")</f>
        <v>3333.4416000000001</v>
      </c>
      <c r="Q8" s="3">
        <f ca="1">IF(Lists!$C$26&lt;Lists!$C$27,'Raw Data'!Q8,"")</f>
        <v>283.342536</v>
      </c>
      <c r="U8" s="3" t="str">
        <f ca="1">IF(Lists!$C$26&lt;Lists!$C$27,'Raw Data'!U7,"")</f>
        <v>BS</v>
      </c>
      <c r="V8" s="3" t="str">
        <f ca="1">IF(Lists!$C$26&lt;Lists!$C$27,'Raw Data'!V7,"")</f>
        <v>Business School</v>
      </c>
      <c r="W8" s="3" t="str">
        <f ca="1">IF(Lists!$C$26&lt;Lists!$C$27,'Raw Data'!W7,"")</f>
        <v>CLASS</v>
      </c>
    </row>
    <row r="9" spans="1:23" ht="15.75" thickBot="1" x14ac:dyDescent="0.3">
      <c r="A9" s="4" t="s">
        <v>40</v>
      </c>
      <c r="B9" s="4" t="s">
        <v>48</v>
      </c>
      <c r="C9" s="3">
        <f ca="1">IF(Lists!$C$26&lt;Lists!$C$27,'Raw Data'!C9,"")</f>
        <v>24359.68</v>
      </c>
      <c r="D9" s="3">
        <f ca="1">IF(Lists!$C$26&lt;Lists!$C$27,'Raw Data'!D9,"")</f>
        <v>7311.66</v>
      </c>
      <c r="E9" s="3">
        <f ca="1">IF(Lists!$C$26&lt;Lists!$C$27,'Raw Data'!E9,"")</f>
        <v>31671.34</v>
      </c>
      <c r="F9" s="1"/>
      <c r="I9" s="27">
        <f ca="1">IF(Lists!$C$26&lt;Lists!$C$27,'Raw Data'!I9,"")</f>
        <v>0.2308604561726785</v>
      </c>
      <c r="J9" s="3">
        <f ca="1">IF(Lists!$C$26&lt;Lists!$C$27,'Raw Data'!J9,"")</f>
        <v>3204</v>
      </c>
      <c r="K9" s="3">
        <f ca="1">IF(Lists!$C$26&lt;Lists!$C$27,'Raw Data'!K9,"")</f>
        <v>739.6769015772619</v>
      </c>
      <c r="L9" s="3">
        <f ca="1">IF(Lists!$C$26&lt;Lists!$C$27,'Raw Data'!L9,"")</f>
        <v>3943.676901577262</v>
      </c>
      <c r="U9" s="3" t="str">
        <f ca="1">IF(Lists!$C$26&lt;Lists!$C$27,'Raw Data'!U8,"")</f>
        <v>CG</v>
      </c>
      <c r="V9" s="3" t="str">
        <f ca="1">IF(Lists!$C$26&lt;Lists!$C$27,'Raw Data'!V8,"")</f>
        <v>Chemical Engineering</v>
      </c>
      <c r="W9" s="3" t="str">
        <f ca="1">IF(Lists!$C$26&lt;Lists!$C$27,'Raw Data'!W8,"")</f>
        <v>LAB</v>
      </c>
    </row>
    <row r="10" spans="1:23" ht="15.75" thickTop="1" x14ac:dyDescent="0.25">
      <c r="A10" s="4" t="s">
        <v>40</v>
      </c>
      <c r="B10" s="4" t="s">
        <v>49</v>
      </c>
      <c r="C10" s="3">
        <f ca="1">IF(Lists!$C$26&lt;Lists!$C$27,'Raw Data'!C10,"")</f>
        <v>24590.38</v>
      </c>
      <c r="D10" s="3">
        <f ca="1">IF(Lists!$C$26&lt;Lists!$C$27,'Raw Data'!D10,"")</f>
        <v>7480.02</v>
      </c>
      <c r="E10" s="3">
        <f ca="1">IF(Lists!$C$26&lt;Lists!$C$27,'Raw Data'!E10,"")</f>
        <v>32070.400000000001</v>
      </c>
      <c r="F10" s="1"/>
      <c r="I10" s="27">
        <f ca="1">IF(Lists!$C$26&lt;Lists!$C$27,'Raw Data'!I10,"")</f>
        <v>0.23323750249451208</v>
      </c>
      <c r="J10" s="3">
        <f ca="1">IF(Lists!$C$26&lt;Lists!$C$27,'Raw Data'!J10,"")</f>
        <v>3204</v>
      </c>
      <c r="K10" s="3">
        <f ca="1">IF(Lists!$C$26&lt;Lists!$C$27,'Raw Data'!K10,"")</f>
        <v>747.29295799241675</v>
      </c>
      <c r="L10" s="3">
        <f ca="1">IF(Lists!$C$26&lt;Lists!$C$27,'Raw Data'!L10,"")</f>
        <v>3951.2929579924166</v>
      </c>
      <c r="Q10" s="8">
        <f ca="1">SUM(O8:Q8)</f>
        <v>6553.7841360000002</v>
      </c>
      <c r="U10" s="3" t="str">
        <f ca="1">IF(Lists!$C$26&lt;Lists!$C$27,'Raw Data'!U9,"")</f>
        <v>CM</v>
      </c>
      <c r="V10" s="3" t="str">
        <f ca="1">IF(Lists!$C$26&lt;Lists!$C$27,'Raw Data'!V9,"")</f>
        <v>Chemistry</v>
      </c>
      <c r="W10" s="3" t="str">
        <f ca="1">IF(Lists!$C$26&lt;Lists!$C$27,'Raw Data'!W9,"")</f>
        <v>LAB</v>
      </c>
    </row>
    <row r="11" spans="1:23" x14ac:dyDescent="0.25">
      <c r="A11" s="4" t="s">
        <v>40</v>
      </c>
      <c r="B11" s="4" t="s">
        <v>50</v>
      </c>
      <c r="C11" s="3">
        <f ca="1">IF(Lists!$C$26&lt;Lists!$C$27,'Raw Data'!C11,"")</f>
        <v>25258.85</v>
      </c>
      <c r="D11" s="3">
        <f ca="1">IF(Lists!$C$26&lt;Lists!$C$27,'Raw Data'!D11,"")</f>
        <v>7715.99</v>
      </c>
      <c r="E11" s="3">
        <f ca="1">IF(Lists!$C$26&lt;Lists!$C$27,'Raw Data'!E11,"")</f>
        <v>32974.839999999997</v>
      </c>
      <c r="F11" s="1"/>
      <c r="I11" s="27">
        <f ca="1">IF(Lists!$C$26&lt;Lists!$C$27,'Raw Data'!I11,"")</f>
        <v>0.23399628322684812</v>
      </c>
      <c r="J11" s="3">
        <f ca="1">IF(Lists!$C$26&lt;Lists!$C$27,'Raw Data'!J11,"")</f>
        <v>3204</v>
      </c>
      <c r="K11" s="3">
        <f ca="1">IF(Lists!$C$26&lt;Lists!$C$27,'Raw Data'!K11,"")</f>
        <v>749.72409145882136</v>
      </c>
      <c r="L11" s="3">
        <f ca="1">IF(Lists!$C$26&lt;Lists!$C$27,'Raw Data'!L11,"")</f>
        <v>3953.7240914588215</v>
      </c>
      <c r="Q11" s="9"/>
      <c r="U11" s="3" t="str">
        <f ca="1">IF(Lists!$C$26&lt;Lists!$C$27,'Raw Data'!U10,"")</f>
        <v>CO</v>
      </c>
      <c r="V11" s="3" t="str">
        <f ca="1">IF(Lists!$C$26&lt;Lists!$C$27,'Raw Data'!V10,"")</f>
        <v>Computer Science</v>
      </c>
      <c r="W11" s="3" t="str">
        <f ca="1">IF(Lists!$C$26&lt;Lists!$C$27,'Raw Data'!W10,"")</f>
        <v>LAB</v>
      </c>
    </row>
    <row r="12" spans="1:23" x14ac:dyDescent="0.25">
      <c r="A12" s="4" t="s">
        <v>51</v>
      </c>
      <c r="B12" s="4" t="s">
        <v>52</v>
      </c>
      <c r="C12" s="3">
        <f ca="1">IF(Lists!$C$26&lt;Lists!$C$27,'Raw Data'!C12,"")</f>
        <v>26102.45</v>
      </c>
      <c r="D12" s="3">
        <f ca="1">IF(Lists!$C$26&lt;Lists!$C$27,'Raw Data'!D12,"")</f>
        <v>8013.78</v>
      </c>
      <c r="E12" s="3">
        <f ca="1">IF(Lists!$C$26&lt;Lists!$C$27,'Raw Data'!E12,"")</f>
        <v>34116.230000000003</v>
      </c>
      <c r="F12" s="1"/>
      <c r="I12" s="27">
        <f ca="1">IF(Lists!$C$26&lt;Lists!$C$27,'Raw Data'!I12,"")</f>
        <v>0.23489641147336618</v>
      </c>
      <c r="J12" s="3">
        <f ca="1">IF(Lists!$C$26&lt;Lists!$C$27,'Raw Data'!J12,"")</f>
        <v>3204</v>
      </c>
      <c r="K12" s="3">
        <f ca="1">IF(Lists!$C$26&lt;Lists!$C$27,'Raw Data'!K12,"")</f>
        <v>752.60810236066527</v>
      </c>
      <c r="L12" s="3">
        <f ca="1">IF(Lists!$C$26&lt;Lists!$C$27,'Raw Data'!L12,"")</f>
        <v>3956.6081023606653</v>
      </c>
      <c r="O12" s="79" t="s">
        <v>53</v>
      </c>
      <c r="P12" s="79"/>
      <c r="Q12" s="79"/>
      <c r="R12" s="80"/>
      <c r="S12" s="81"/>
      <c r="U12" s="3" t="str">
        <f ca="1">IF(Lists!$C$26&lt;Lists!$C$27,'Raw Data'!U11,"")</f>
        <v>CV</v>
      </c>
      <c r="V12" s="3" t="str">
        <f ca="1">IF(Lists!$C$26&lt;Lists!$C$27,'Raw Data'!V11,"")</f>
        <v>Civil &amp; Building Engineering</v>
      </c>
      <c r="W12" s="3" t="str">
        <f ca="1">IF(Lists!$C$26&lt;Lists!$C$27,'Raw Data'!W11,"")</f>
        <v>LAB</v>
      </c>
    </row>
    <row r="13" spans="1:23" x14ac:dyDescent="0.25">
      <c r="A13" s="4" t="s">
        <v>51</v>
      </c>
      <c r="B13" s="4" t="s">
        <v>54</v>
      </c>
      <c r="C13" s="3">
        <f ca="1">IF(Lists!$C$26&lt;Lists!$C$27,'Raw Data'!C13,"")</f>
        <v>26854.46</v>
      </c>
      <c r="D13" s="3">
        <f ca="1">IF(Lists!$C$26&lt;Lists!$C$27,'Raw Data'!D13,"")</f>
        <v>8279.25</v>
      </c>
      <c r="E13" s="3">
        <f ca="1">IF(Lists!$C$26&lt;Lists!$C$27,'Raw Data'!E13,"")</f>
        <v>35133.71</v>
      </c>
      <c r="F13" s="7"/>
      <c r="I13" s="27">
        <f ca="1">IF(Lists!$C$26&lt;Lists!$C$27,'Raw Data'!I13,"")</f>
        <v>0.23564975062411569</v>
      </c>
      <c r="J13" s="3">
        <f ca="1">IF(Lists!$C$26&lt;Lists!$C$27,'Raw Data'!J13,"")</f>
        <v>3204</v>
      </c>
      <c r="K13" s="3">
        <f ca="1">IF(Lists!$C$26&lt;Lists!$C$27,'Raw Data'!K13,"")</f>
        <v>755.02180099966665</v>
      </c>
      <c r="L13" s="3">
        <f ca="1">IF(Lists!$C$26&lt;Lists!$C$27,'Raw Data'!L13,"")</f>
        <v>3959.0218009996665</v>
      </c>
      <c r="O13" s="28" t="s">
        <v>55</v>
      </c>
      <c r="P13" s="28" t="s">
        <v>56</v>
      </c>
      <c r="Q13" s="28" t="s">
        <v>57</v>
      </c>
      <c r="R13" s="28" t="s">
        <v>58</v>
      </c>
      <c r="S13" s="28" t="s">
        <v>59</v>
      </c>
      <c r="U13" s="3" t="str">
        <f ca="1">IF(Lists!$C$26&lt;Lists!$C$27,'Raw Data'!U12,"")</f>
        <v>DS</v>
      </c>
      <c r="V13" s="3" t="str">
        <f ca="1">IF(Lists!$C$26&lt;Lists!$C$27,'Raw Data'!V12,"")</f>
        <v>Design &amp; Creative Arts</v>
      </c>
      <c r="W13" s="3" t="str">
        <f ca="1">IF(Lists!$C$26&lt;Lists!$C$27,'Raw Data'!W12,"")</f>
        <v>LAB</v>
      </c>
    </row>
    <row r="14" spans="1:23" x14ac:dyDescent="0.25">
      <c r="A14" s="4" t="s">
        <v>51</v>
      </c>
      <c r="B14" s="4" t="s">
        <v>60</v>
      </c>
      <c r="C14" s="3">
        <f ca="1">IF(Lists!$C$26&lt;Lists!$C$27,'Raw Data'!C14,"")</f>
        <v>27655.61</v>
      </c>
      <c r="D14" s="3">
        <f ca="1">IF(Lists!$C$26&lt;Lists!$C$27,'Raw Data'!D14,"")</f>
        <v>8562.0499999999993</v>
      </c>
      <c r="E14" s="3">
        <f ca="1">IF(Lists!$C$26&lt;Lists!$C$27,'Raw Data'!E14,"")</f>
        <v>36217.660000000003</v>
      </c>
      <c r="F14" s="7"/>
      <c r="I14" s="27">
        <f ca="1">IF(Lists!$C$26&lt;Lists!$C$27,'Raw Data'!I14,"")</f>
        <v>0.23640538897322463</v>
      </c>
      <c r="J14" s="3">
        <f ca="1">IF(Lists!$C$26&lt;Lists!$C$27,'Raw Data'!J14,"")</f>
        <v>3204</v>
      </c>
      <c r="K14" s="3">
        <f ca="1">IF(Lists!$C$26&lt;Lists!$C$27,'Raw Data'!K14,"")</f>
        <v>757.44286627021177</v>
      </c>
      <c r="L14" s="3">
        <f ca="1">IF(Lists!$C$26&lt;Lists!$C$27,'Raw Data'!L14,"")</f>
        <v>3961.4428662702117</v>
      </c>
      <c r="N14" s="12" t="s">
        <v>22</v>
      </c>
      <c r="O14" s="3">
        <f ca="1">IF(Lists!$C$26&lt;Lists!$C$27,'Raw Data'!O14,"")</f>
        <v>6193</v>
      </c>
      <c r="P14" s="3">
        <f ca="1">IF(Lists!$C$26&lt;Lists!$C$27,'Raw Data'!P14,"")</f>
        <v>13531</v>
      </c>
      <c r="Q14" s="3">
        <f ca="1">IF(Lists!$C$26&lt;Lists!$C$27,'Raw Data'!Q14,"")</f>
        <v>61</v>
      </c>
      <c r="R14" s="3">
        <f ca="1">IF(Lists!$C$26&lt;Lists!$C$27,'Raw Data'!R14,"")</f>
        <v>1534</v>
      </c>
      <c r="S14" s="3">
        <f ca="1">IF(Lists!$C$26&lt;Lists!$C$27,'Raw Data'!S14,"")</f>
        <v>61905</v>
      </c>
      <c r="U14" s="3" t="str">
        <f ca="1">IF(Lists!$C$26&lt;Lists!$C$27,'Raw Data'!U13,"")</f>
        <v>HT</v>
      </c>
      <c r="V14" s="3" t="str">
        <f ca="1">IF(Lists!$C$26&lt;Lists!$C$27,'Raw Data'!V13,"")</f>
        <v>English</v>
      </c>
      <c r="W14" s="3" t="str">
        <f ca="1">IF(Lists!$C$26&lt;Lists!$C$27,'Raw Data'!W13,"")</f>
        <v>CLASS</v>
      </c>
    </row>
    <row r="15" spans="1:23" x14ac:dyDescent="0.25">
      <c r="A15" s="4" t="s">
        <v>51</v>
      </c>
      <c r="B15" s="4" t="s">
        <v>61</v>
      </c>
      <c r="C15" s="3">
        <f ca="1">IF(Lists!$C$26&lt;Lists!$C$27,'Raw Data'!C15,"")</f>
        <v>28479.67</v>
      </c>
      <c r="D15" s="3">
        <f ca="1">IF(Lists!$C$26&lt;Lists!$C$27,'Raw Data'!D15,"")</f>
        <v>8852.94</v>
      </c>
      <c r="E15" s="3">
        <f ca="1">IF(Lists!$C$26&lt;Lists!$C$27,'Raw Data'!E15,"")</f>
        <v>37332.61</v>
      </c>
      <c r="F15" s="7"/>
      <c r="I15" s="27">
        <f ca="1">IF(Lists!$C$26&lt;Lists!$C$27,'Raw Data'!I15,"")</f>
        <v>0.23713691595631808</v>
      </c>
      <c r="J15" s="3">
        <f ca="1">IF(Lists!$C$26&lt;Lists!$C$27,'Raw Data'!J15,"")</f>
        <v>3204</v>
      </c>
      <c r="K15" s="3">
        <f ca="1">IF(Lists!$C$26&lt;Lists!$C$27,'Raw Data'!K15,"")</f>
        <v>759.7866787240431</v>
      </c>
      <c r="L15" s="3">
        <f ca="1">IF(Lists!$C$26&lt;Lists!$C$27,'Raw Data'!L15,"")</f>
        <v>3963.7866787240432</v>
      </c>
      <c r="U15" s="3" t="str">
        <f ca="1">IF(Lists!$C$26&lt;Lists!$C$27,'Raw Data'!U14,"")</f>
        <v>EC</v>
      </c>
      <c r="V15" s="3" t="str">
        <f ca="1">IF(Lists!$C$26&lt;Lists!$C$27,'Raw Data'!V14,"")</f>
        <v>Economics</v>
      </c>
      <c r="W15" s="3" t="str">
        <f ca="1">IF(Lists!$C$26&lt;Lists!$C$27,'Raw Data'!W14,"")</f>
        <v>CLASS</v>
      </c>
    </row>
    <row r="16" spans="1:23" x14ac:dyDescent="0.25">
      <c r="A16" s="4" t="s">
        <v>51</v>
      </c>
      <c r="B16" s="4" t="s">
        <v>62</v>
      </c>
      <c r="C16" s="3">
        <f ca="1">IF(Lists!$C$26&lt;Lists!$C$27,'Raw Data'!C16,"")</f>
        <v>29919.200000000001</v>
      </c>
      <c r="D16" s="3">
        <f ca="1">IF(Lists!$C$26&lt;Lists!$C$27,'Raw Data'!D16,"")</f>
        <v>9274.18</v>
      </c>
      <c r="E16" s="3">
        <f ca="1">IF(Lists!$C$26&lt;Lists!$C$27,'Raw Data'!E16,"")</f>
        <v>39193.380000000005</v>
      </c>
      <c r="F16" s="7"/>
      <c r="I16" s="27">
        <f ca="1">IF(Lists!$C$26&lt;Lists!$C$27,'Raw Data'!I16,"")</f>
        <v>0.23662618534048349</v>
      </c>
      <c r="J16" s="3">
        <f ca="1">IF(Lists!$C$26&lt;Lists!$C$27,'Raw Data'!J16,"")</f>
        <v>3204</v>
      </c>
      <c r="K16" s="3">
        <f ca="1">IF(Lists!$C$26&lt;Lists!$C$27,'Raw Data'!K16,"")</f>
        <v>758.15029783090915</v>
      </c>
      <c r="L16" s="3">
        <f ca="1">IF(Lists!$C$26&lt;Lists!$C$27,'Raw Data'!L16,"")</f>
        <v>3962.150297830909</v>
      </c>
      <c r="N16" s="2" t="s">
        <v>63</v>
      </c>
      <c r="O16" s="3">
        <f ca="1">IF(Lists!$C$26&lt;Lists!$C$27,'Raw Data'!O16,"")</f>
        <v>76970</v>
      </c>
      <c r="U16" s="3" t="str">
        <f ca="1">IF(Lists!$C$26&lt;Lists!$C$27,'Raw Data'!U15,"")</f>
        <v>EL</v>
      </c>
      <c r="V16" s="3" t="str">
        <f ca="1">IF(Lists!$C$26&lt;Lists!$C$27,'Raw Data'!V15,"")</f>
        <v>Electrical &amp; Electronic Engineering</v>
      </c>
      <c r="W16" s="3" t="str">
        <f ca="1">IF(Lists!$C$26&lt;Lists!$C$27,'Raw Data'!W15,"")</f>
        <v>LAB</v>
      </c>
    </row>
    <row r="17" spans="1:23" x14ac:dyDescent="0.25">
      <c r="A17" s="4" t="s">
        <v>51</v>
      </c>
      <c r="B17" s="4" t="s">
        <v>64</v>
      </c>
      <c r="C17" s="3">
        <f ca="1">IF(Lists!$C$26&lt;Lists!$C$27,'Raw Data'!C17,"")</f>
        <v>30203.32</v>
      </c>
      <c r="D17" s="3">
        <f ca="1">IF(Lists!$C$26&lt;Lists!$C$27,'Raw Data'!D17,"")</f>
        <v>9461.39</v>
      </c>
      <c r="E17" s="3">
        <f ca="1">IF(Lists!$C$26&lt;Lists!$C$27,'Raw Data'!E17,"")</f>
        <v>39664.71</v>
      </c>
      <c r="F17" s="7"/>
      <c r="I17" s="27">
        <f ca="1">IF(Lists!$C$26&lt;Lists!$C$27,'Raw Data'!I17,"")</f>
        <v>0.23853420332582792</v>
      </c>
      <c r="J17" s="3">
        <f ca="1">IF(Lists!$C$26&lt;Lists!$C$27,'Raw Data'!J17,"")</f>
        <v>3204</v>
      </c>
      <c r="K17" s="3">
        <f ca="1">IF(Lists!$C$26&lt;Lists!$C$27,'Raw Data'!K17,"")</f>
        <v>764.26358745595269</v>
      </c>
      <c r="L17" s="3">
        <f ca="1">IF(Lists!$C$26&lt;Lists!$C$27,'Raw Data'!L17,"")</f>
        <v>3968.2635874559528</v>
      </c>
      <c r="N17" s="2" t="s">
        <v>65</v>
      </c>
      <c r="O17" s="3">
        <f ca="1">IF(Lists!$C$26&lt;Lists!$C$27,'Raw Data'!O17,"")</f>
        <v>68159</v>
      </c>
      <c r="U17" s="3" t="str">
        <f ca="1">IF(Lists!$C$26&lt;Lists!$C$27,'Raw Data'!U16,"")</f>
        <v>GY</v>
      </c>
      <c r="V17" s="3" t="str">
        <f ca="1">IF(Lists!$C$26&lt;Lists!$C$27,'Raw Data'!V16,"")</f>
        <v>Geography and Environment</v>
      </c>
      <c r="W17" s="3" t="str">
        <f ca="1">IF(Lists!$C$26&lt;Lists!$C$27,'Raw Data'!W16,"")</f>
        <v>LAB</v>
      </c>
    </row>
    <row r="18" spans="1:23" x14ac:dyDescent="0.25">
      <c r="A18" s="4" t="s">
        <v>51</v>
      </c>
      <c r="B18" s="4" t="s">
        <v>66</v>
      </c>
      <c r="C18" s="3">
        <f ca="1">IF(Lists!$C$26&lt;Lists!$C$27,'Raw Data'!C18,"")</f>
        <v>31024.75</v>
      </c>
      <c r="D18" s="3">
        <f ca="1">IF(Lists!$C$26&lt;Lists!$C$27,'Raw Data'!D18,"")</f>
        <v>9751.35</v>
      </c>
      <c r="E18" s="3">
        <f ca="1">IF(Lists!$C$26&lt;Lists!$C$27,'Raw Data'!E18,"")</f>
        <v>40776.1</v>
      </c>
      <c r="F18" s="7"/>
      <c r="I18" s="27">
        <f ca="1">IF(Lists!$C$26&lt;Lists!$C$27,'Raw Data'!I18,"")</f>
        <v>0.23914376313575847</v>
      </c>
      <c r="J18" s="3">
        <f ca="1">IF(Lists!$C$26&lt;Lists!$C$27,'Raw Data'!J18,"")</f>
        <v>3204</v>
      </c>
      <c r="K18" s="3">
        <f ca="1">IF(Lists!$C$26&lt;Lists!$C$27,'Raw Data'!K18,"")</f>
        <v>766.21661708697013</v>
      </c>
      <c r="L18" s="3">
        <f ca="1">IF(Lists!$C$26&lt;Lists!$C$27,'Raw Data'!L18,"")</f>
        <v>3970.21661708697</v>
      </c>
      <c r="U18" s="3" t="str">
        <f ca="1">IF(Lists!$C$26&lt;Lists!$C$27,'Raw Data'!U17,"")</f>
        <v>LC</v>
      </c>
      <c r="V18" s="3" t="str">
        <f ca="1">IF(Lists!$C$26&lt;Lists!$C$27,'Raw Data'!V17,"")</f>
        <v>LISU (Claire Creaser)</v>
      </c>
      <c r="W18" s="3" t="str">
        <f ca="1">IF(Lists!$C$26&lt;Lists!$C$27,'Raw Data'!W17,"")</f>
        <v>CLASS</v>
      </c>
    </row>
    <row r="19" spans="1:23" x14ac:dyDescent="0.25">
      <c r="A19" s="29" t="s">
        <v>67</v>
      </c>
      <c r="B19" s="4" t="s">
        <v>68</v>
      </c>
      <c r="C19" s="3">
        <f ca="1">IF(Lists!$C$26&lt;Lists!$C$27,'Raw Data'!C19,"")</f>
        <v>32031.55</v>
      </c>
      <c r="D19" s="3">
        <f ca="1">IF(Lists!$C$26&lt;Lists!$C$27,'Raw Data'!D19,"")</f>
        <v>10138.780000000001</v>
      </c>
      <c r="E19" s="3">
        <f ca="1">IF(Lists!$C$26&lt;Lists!$C$27,'Raw Data'!E19,"")</f>
        <v>42170.33</v>
      </c>
      <c r="F19" s="7"/>
      <c r="I19" s="27">
        <f ca="1">IF(Lists!$C$26&lt;Lists!$C$27,'Raw Data'!I19,"")</f>
        <v>0.24042448802274016</v>
      </c>
      <c r="J19" s="3">
        <f ca="1">IF(Lists!$C$26&lt;Lists!$C$27,'Raw Data'!J19,"")</f>
        <v>3204</v>
      </c>
      <c r="K19" s="3">
        <f ca="1">IF(Lists!$C$26&lt;Lists!$C$27,'Raw Data'!K19,"")</f>
        <v>770.32005962485948</v>
      </c>
      <c r="L19" s="3">
        <f ca="1">IF(Lists!$C$26&lt;Lists!$C$27,'Raw Data'!L19,"")</f>
        <v>3974.3200596248594</v>
      </c>
      <c r="U19" s="3" t="str">
        <f ca="1">IF(Lists!$C$26&lt;Lists!$C$27,'Raw Data'!U18,"")</f>
        <v>LD</v>
      </c>
      <c r="V19" s="3" t="str">
        <f ca="1">IF(Lists!$C$26&lt;Lists!$C$27,'Raw Data'!V18,"")</f>
        <v>Arts</v>
      </c>
      <c r="W19" s="3" t="str">
        <f ca="1">IF(Lists!$C$26&lt;Lists!$C$27,'Raw Data'!W18,"")</f>
        <v>LAB</v>
      </c>
    </row>
    <row r="20" spans="1:23" x14ac:dyDescent="0.25">
      <c r="A20" s="29" t="s">
        <v>67</v>
      </c>
      <c r="B20" s="4" t="s">
        <v>69</v>
      </c>
      <c r="C20" s="3">
        <f ca="1">IF(Lists!$C$26&lt;Lists!$C$27,'Raw Data'!C20,"")</f>
        <v>32987.08</v>
      </c>
      <c r="D20" s="3">
        <f ca="1">IF(Lists!$C$26&lt;Lists!$C$27,'Raw Data'!D20,"")</f>
        <v>10477.040000000001</v>
      </c>
      <c r="E20" s="3">
        <f ca="1">IF(Lists!$C$26&lt;Lists!$C$27,'Raw Data'!E20,"")</f>
        <v>43464.12</v>
      </c>
      <c r="I20" s="27">
        <f ca="1">IF(Lists!$C$26&lt;Lists!$C$27,'Raw Data'!I20,"")</f>
        <v>0.24105031920581851</v>
      </c>
      <c r="J20" s="3">
        <f ca="1">IF(Lists!$C$26&lt;Lists!$C$27,'Raw Data'!J20,"")</f>
        <v>3204</v>
      </c>
      <c r="K20" s="3">
        <f ca="1">IF(Lists!$C$26&lt;Lists!$C$27,'Raw Data'!K20,"")</f>
        <v>772.32522273544248</v>
      </c>
      <c r="L20" s="3">
        <f ca="1">IF(Lists!$C$26&lt;Lists!$C$27,'Raw Data'!L20,"")</f>
        <v>3976.3252227354424</v>
      </c>
      <c r="N20" s="2" t="s">
        <v>70</v>
      </c>
      <c r="P20" s="3">
        <f ca="1">IF(Lists!$C$26&lt;Lists!$C$27,'Raw Data'!P20,"")</f>
        <v>3204</v>
      </c>
      <c r="U20" s="3" t="str">
        <f ca="1">IF(Lists!$C$26&lt;Lists!$C$27,'Raw Data'!U19,"")</f>
        <v>MA</v>
      </c>
      <c r="V20" s="3" t="str">
        <f ca="1">IF(Lists!$C$26&lt;Lists!$C$27,'Raw Data'!V19,"")</f>
        <v>Mathematical Sciences</v>
      </c>
      <c r="W20" s="3" t="str">
        <f ca="1">IF(Lists!$C$26&lt;Lists!$C$27,'Raw Data'!W19,"")</f>
        <v>CLASS</v>
      </c>
    </row>
    <row r="21" spans="1:23" x14ac:dyDescent="0.25">
      <c r="A21" s="29" t="s">
        <v>67</v>
      </c>
      <c r="B21" s="4" t="s">
        <v>71</v>
      </c>
      <c r="C21" s="3">
        <f ca="1">IF(Lists!$C$26&lt;Lists!$C$27,'Raw Data'!C21,"")</f>
        <v>33971.71</v>
      </c>
      <c r="D21" s="3">
        <f ca="1">IF(Lists!$C$26&lt;Lists!$C$27,'Raw Data'!D21,"")</f>
        <v>10825.6</v>
      </c>
      <c r="E21" s="3">
        <f ca="1">IF(Lists!$C$26&lt;Lists!$C$27,'Raw Data'!E21,"")</f>
        <v>44797.31</v>
      </c>
      <c r="I21" s="27">
        <f ca="1">IF(Lists!$C$26&lt;Lists!$C$27,'Raw Data'!I21,"")</f>
        <v>0.24165736737317489</v>
      </c>
      <c r="J21" s="3">
        <f ca="1">IF(Lists!$C$26&lt;Lists!$C$27,'Raw Data'!J21,"")</f>
        <v>3204</v>
      </c>
      <c r="K21" s="3">
        <f ca="1">IF(Lists!$C$26&lt;Lists!$C$27,'Raw Data'!K21,"")</f>
        <v>774.27020506365238</v>
      </c>
      <c r="L21" s="3">
        <f ca="1">IF(Lists!$C$26&lt;Lists!$C$27,'Raw Data'!L21,"")</f>
        <v>3978.2702050636526</v>
      </c>
      <c r="U21" s="3" t="e">
        <f ca="1">IF(Lists!$C$26&lt;Lists!$C$27,'Raw Data'!#REF!,"")</f>
        <v>#REF!</v>
      </c>
      <c r="V21" s="3" t="e">
        <f ca="1">IF(Lists!$C$26&lt;Lists!$C$27,'Raw Data'!#REF!,"")</f>
        <v>#REF!</v>
      </c>
      <c r="W21" s="3" t="e">
        <f ca="1">IF(Lists!$C$26&lt;Lists!$C$27,'Raw Data'!#REF!,"")</f>
        <v>#REF!</v>
      </c>
    </row>
    <row r="22" spans="1:23" x14ac:dyDescent="0.25">
      <c r="A22" s="29" t="s">
        <v>67</v>
      </c>
      <c r="B22" s="29" t="s">
        <v>72</v>
      </c>
      <c r="C22" s="3">
        <f ca="1">IF(Lists!$C$26&lt;Lists!$C$27,'Raw Data'!C22,"")</f>
        <v>34986.959999999999</v>
      </c>
      <c r="D22" s="3">
        <f ca="1">IF(Lists!$C$26&lt;Lists!$C$27,'Raw Data'!D22,"")</f>
        <v>11185.01</v>
      </c>
      <c r="E22" s="3">
        <f ca="1">IF(Lists!$C$26&lt;Lists!$C$27,'Raw Data'!E22,"")</f>
        <v>46171.97</v>
      </c>
      <c r="I22" s="27">
        <f ca="1">IF(Lists!$C$26&lt;Lists!$C$27,'Raw Data'!I22,"")</f>
        <v>0.24224675706927817</v>
      </c>
      <c r="J22" s="3">
        <f ca="1">IF(Lists!$C$26&lt;Lists!$C$27,'Raw Data'!J22,"")</f>
        <v>3204</v>
      </c>
      <c r="K22" s="3">
        <f ca="1">IF(Lists!$C$26&lt;Lists!$C$27,'Raw Data'!K22,"")</f>
        <v>776.15860964996727</v>
      </c>
      <c r="L22" s="3">
        <f ca="1">IF(Lists!$C$26&lt;Lists!$C$27,'Raw Data'!L22,"")</f>
        <v>3980.1586096499673</v>
      </c>
      <c r="U22" s="3" t="str">
        <f ca="1">IF(Lists!$C$26&lt;Lists!$C$27,'Raw Data'!U20,"")</f>
        <v>MP</v>
      </c>
      <c r="V22" s="3" t="str">
        <f ca="1">IF(Lists!$C$26&lt;Lists!$C$27,'Raw Data'!V20,"")</f>
        <v>Materials</v>
      </c>
      <c r="W22" s="3" t="str">
        <f ca="1">IF(Lists!$C$26&lt;Lists!$C$27,'Raw Data'!W20,"")</f>
        <v>LAB</v>
      </c>
    </row>
    <row r="23" spans="1:23" x14ac:dyDescent="0.25">
      <c r="A23" s="29" t="s">
        <v>67</v>
      </c>
      <c r="B23" s="29" t="s">
        <v>73</v>
      </c>
      <c r="C23" s="3">
        <f ca="1">IF(Lists!$C$26&lt;Lists!$C$27,'Raw Data'!C23,"")</f>
        <v>36029.769999999997</v>
      </c>
      <c r="D23" s="3">
        <f ca="1">IF(Lists!$C$26&lt;Lists!$C$27,'Raw Data'!D23,"")</f>
        <v>11554.16</v>
      </c>
      <c r="E23" s="3">
        <f ca="1">IF(Lists!$C$26&lt;Lists!$C$27,'Raw Data'!E23,"")</f>
        <v>47583.929999999993</v>
      </c>
      <c r="I23" s="27">
        <f ca="1">IF(Lists!$C$26&lt;Lists!$C$27,'Raw Data'!I23,"")</f>
        <v>0.24281642983250862</v>
      </c>
      <c r="J23" s="3">
        <f ca="1">IF(Lists!$C$26&lt;Lists!$C$27,'Raw Data'!J23,"")</f>
        <v>3204</v>
      </c>
      <c r="K23" s="3">
        <f ca="1">IF(Lists!$C$26&lt;Lists!$C$27,'Raw Data'!K23,"")</f>
        <v>777.98384118335764</v>
      </c>
      <c r="L23" s="3">
        <f ca="1">IF(Lists!$C$26&lt;Lists!$C$27,'Raw Data'!L23,"")</f>
        <v>3981.9838411833575</v>
      </c>
      <c r="U23" s="3" t="str">
        <f ca="1">IF(Lists!$C$26&lt;Lists!$C$27,'Raw Data'!U21,"")</f>
        <v>PH</v>
      </c>
      <c r="V23" s="3" t="str">
        <f ca="1">IF(Lists!$C$26&lt;Lists!$C$27,'Raw Data'!V21,"")</f>
        <v>Physics</v>
      </c>
      <c r="W23" s="3" t="str">
        <f ca="1">IF(Lists!$C$26&lt;Lists!$C$27,'Raw Data'!W21,"")</f>
        <v>LAB</v>
      </c>
    </row>
    <row r="24" spans="1:23" x14ac:dyDescent="0.25">
      <c r="A24" s="29" t="s">
        <v>67</v>
      </c>
      <c r="B24" s="29" t="s">
        <v>74</v>
      </c>
      <c r="C24" s="3">
        <f ca="1">IF(Lists!$C$26&lt;Lists!$C$27,'Raw Data'!C24,"")</f>
        <v>37107.17</v>
      </c>
      <c r="D24" s="3">
        <f ca="1">IF(Lists!$C$26&lt;Lists!$C$27,'Raw Data'!D24,"")</f>
        <v>11935.55</v>
      </c>
      <c r="E24" s="3">
        <f ca="1">IF(Lists!$C$26&lt;Lists!$C$27,'Raw Data'!E24,"")</f>
        <v>49042.720000000001</v>
      </c>
      <c r="I24" s="27">
        <f ca="1">IF(Lists!$C$26&lt;Lists!$C$27,'Raw Data'!I24,"")</f>
        <v>0.24337047374207627</v>
      </c>
      <c r="J24" s="3">
        <f ca="1">IF(Lists!$C$26&lt;Lists!$C$27,'Raw Data'!J24,"")</f>
        <v>3204</v>
      </c>
      <c r="K24" s="3">
        <f ca="1">IF(Lists!$C$26&lt;Lists!$C$27,'Raw Data'!K24,"")</f>
        <v>779.75899786961236</v>
      </c>
      <c r="L24" s="3">
        <f ca="1">IF(Lists!$C$26&lt;Lists!$C$27,'Raw Data'!L24,"")</f>
        <v>3983.7589978696124</v>
      </c>
      <c r="U24" s="3" t="str">
        <f ca="1">IF(Lists!$C$26&lt;Lists!$C$27,'Raw Data'!U22,"")</f>
        <v>PI</v>
      </c>
      <c r="V24" s="3" t="str">
        <f ca="1">IF(Lists!$C$26&lt;Lists!$C$27,'Raw Data'!V22,"")</f>
        <v>Politics and International Studies</v>
      </c>
      <c r="W24" s="3" t="str">
        <f ca="1">IF(Lists!$C$26&lt;Lists!$C$27,'Raw Data'!W22,"")</f>
        <v>CLASS</v>
      </c>
    </row>
    <row r="25" spans="1:23" x14ac:dyDescent="0.25">
      <c r="A25" s="29" t="s">
        <v>67</v>
      </c>
      <c r="B25" s="29" t="s">
        <v>75</v>
      </c>
      <c r="C25" s="3">
        <f ca="1">IF(Lists!$C$26&lt;Lists!$C$27,'Raw Data'!C25,"")</f>
        <v>38213.980000000003</v>
      </c>
      <c r="D25" s="3">
        <f ca="1">IF(Lists!$C$26&lt;Lists!$C$27,'Raw Data'!D25,"")</f>
        <v>12327.37</v>
      </c>
      <c r="E25" s="3">
        <f ca="1">IF(Lists!$C$26&lt;Lists!$C$27,'Raw Data'!E25,"")</f>
        <v>50541.350000000006</v>
      </c>
      <c r="I25" s="27">
        <f ca="1">IF(Lists!$C$26&lt;Lists!$C$27,'Raw Data'!I25,"")</f>
        <v>0.24390662299285634</v>
      </c>
      <c r="J25" s="3">
        <f ca="1">IF(Lists!$C$26&lt;Lists!$C$27,'Raw Data'!J25,"")</f>
        <v>3204</v>
      </c>
      <c r="K25" s="3">
        <f ca="1">IF(Lists!$C$26&lt;Lists!$C$27,'Raw Data'!K25,"")</f>
        <v>781.47682006911168</v>
      </c>
      <c r="L25" s="3">
        <f ca="1">IF(Lists!$C$26&lt;Lists!$C$27,'Raw Data'!L25,"")</f>
        <v>3985.4768200691115</v>
      </c>
      <c r="U25" s="3" t="str">
        <f ca="1">IF(Lists!$C$26&lt;Lists!$C$27,'Raw Data'!U23,"")</f>
        <v>PS</v>
      </c>
      <c r="V25" s="3" t="str">
        <f ca="1">IF(Lists!$C$26&lt;Lists!$C$27,'Raw Data'!V23,"")</f>
        <v>SSEHS</v>
      </c>
      <c r="W25" s="3" t="str">
        <f ca="1">IF(Lists!$C$26&lt;Lists!$C$27,'Raw Data'!W23,"")</f>
        <v>LAB</v>
      </c>
    </row>
    <row r="26" spans="1:23" x14ac:dyDescent="0.25">
      <c r="A26" s="29" t="s">
        <v>67</v>
      </c>
      <c r="B26" s="29" t="s">
        <v>76</v>
      </c>
      <c r="C26" s="3">
        <f ca="1">IF(Lists!$C$26&lt;Lists!$C$27,'Raw Data'!C26,"")</f>
        <v>40148.71</v>
      </c>
      <c r="D26" s="3">
        <f ca="1">IF(Lists!$C$26&lt;Lists!$C$27,'Raw Data'!D26,"")</f>
        <v>13186.3</v>
      </c>
      <c r="E26" s="3">
        <f ca="1">IF(Lists!$C$26&lt;Lists!$C$27,'Raw Data'!E26,"")</f>
        <v>53335.009999999995</v>
      </c>
      <c r="I26" s="27">
        <f ca="1">IF(Lists!$C$26&lt;Lists!$C$27,'Raw Data'!I26,"")</f>
        <v>0.24723535253860457</v>
      </c>
      <c r="J26" s="3">
        <f ca="1">IF(Lists!$C$26&lt;Lists!$C$27,'Raw Data'!J26,"")</f>
        <v>3204</v>
      </c>
      <c r="K26" s="3">
        <f ca="1">IF(Lists!$C$26&lt;Lists!$C$27,'Raw Data'!K26,"")</f>
        <v>792.1420695336891</v>
      </c>
      <c r="L26" s="3">
        <f ca="1">IF(Lists!$C$26&lt;Lists!$C$27,'Raw Data'!L26,"")</f>
        <v>3996.1420695336892</v>
      </c>
      <c r="U26" s="3" t="str">
        <f ca="1">IF(Lists!$C$26&lt;Lists!$C$27,'Raw Data'!U24,"")</f>
        <v>SP</v>
      </c>
      <c r="V26" s="3" t="str">
        <f ca="1">IF(Lists!$C$26&lt;Lists!$C$27,'Raw Data'!V24,"")</f>
        <v>Social and Policy Studies</v>
      </c>
      <c r="W26" s="3" t="str">
        <f ca="1">IF(Lists!$C$26&lt;Lists!$C$27,'Raw Data'!W24,"")</f>
        <v>CLASS</v>
      </c>
    </row>
    <row r="27" spans="1:23" x14ac:dyDescent="0.25">
      <c r="A27" s="29" t="s">
        <v>67</v>
      </c>
      <c r="B27" s="29" t="s">
        <v>77</v>
      </c>
      <c r="C27" s="3">
        <f ca="1">IF(Lists!$C$26&lt;Lists!$C$27,'Raw Data'!C27,"")</f>
        <v>40530.81</v>
      </c>
      <c r="D27" s="3">
        <f ca="1">IF(Lists!$C$26&lt;Lists!$C$27,'Raw Data'!D27,"")</f>
        <v>13147.52</v>
      </c>
      <c r="E27" s="3">
        <f ca="1">IF(Lists!$C$26&lt;Lists!$C$27,'Raw Data'!E27,"")</f>
        <v>53678.33</v>
      </c>
      <c r="I27" s="27">
        <f ca="1">IF(Lists!$C$26&lt;Lists!$C$27,'Raw Data'!I27,"")</f>
        <v>0.24493161393061222</v>
      </c>
      <c r="J27" s="3">
        <f ca="1">IF(Lists!$C$26&lt;Lists!$C$27,'Raw Data'!J27,"")</f>
        <v>3204</v>
      </c>
      <c r="K27" s="3">
        <f ca="1">IF(Lists!$C$26&lt;Lists!$C$27,'Raw Data'!K27,"")</f>
        <v>784.76089103368156</v>
      </c>
      <c r="L27" s="3">
        <f ca="1">IF(Lists!$C$26&lt;Lists!$C$27,'Raw Data'!L27,"")</f>
        <v>3988.7608910336817</v>
      </c>
      <c r="U27" s="3" t="str">
        <f ca="1">IF(Lists!$C$26&lt;Lists!$C$27,'Raw Data'!U25,"")</f>
        <v>SS</v>
      </c>
      <c r="V27" s="3" t="str">
        <f ca="1">IF(Lists!$C$26&lt;Lists!$C$27,'Raw Data'!V25,"")</f>
        <v>Communication &amp; Media</v>
      </c>
      <c r="W27" s="3" t="str">
        <f ca="1">IF(Lists!$C$26&lt;Lists!$C$27,'Raw Data'!W25,"")</f>
        <v>CLASS</v>
      </c>
    </row>
    <row r="28" spans="1:23" x14ac:dyDescent="0.25">
      <c r="A28" s="29" t="s">
        <v>67</v>
      </c>
      <c r="B28" s="29" t="s">
        <v>78</v>
      </c>
      <c r="C28" s="3">
        <f ca="1">IF(Lists!$C$26&lt;Lists!$C$27,'Raw Data'!C28,"")</f>
        <v>41635.49</v>
      </c>
      <c r="D28" s="3">
        <f ca="1">IF(Lists!$C$26&lt;Lists!$C$27,'Raw Data'!D28,"")</f>
        <v>13538.58</v>
      </c>
      <c r="E28" s="3">
        <f ca="1">IF(Lists!$C$26&lt;Lists!$C$27,'Raw Data'!E28,"")</f>
        <v>55174.07</v>
      </c>
      <c r="I28" s="27">
        <f ca="1">IF(Lists!$C$26&lt;Lists!$C$27,'Raw Data'!I28,"")</f>
        <v>0.24537939651724081</v>
      </c>
      <c r="J28" s="3">
        <f ca="1">IF(Lists!$C$26&lt;Lists!$C$27,'Raw Data'!J28,"")</f>
        <v>3204</v>
      </c>
      <c r="K28" s="3">
        <f ca="1">IF(Lists!$C$26&lt;Lists!$C$27,'Raw Data'!K28,"")</f>
        <v>786.19558644123958</v>
      </c>
      <c r="L28" s="3">
        <f ca="1">IF(Lists!$C$26&lt;Lists!$C$27,'Raw Data'!L28,"")</f>
        <v>3990.1955864412394</v>
      </c>
      <c r="U28" s="3" t="str">
        <f ca="1">IF(Lists!$C$26&lt;Lists!$C$27,'Raw Data'!U26,"")</f>
        <v>WE</v>
      </c>
      <c r="V28" s="3" t="str">
        <f ca="1">IF(Lists!$C$26&lt;Lists!$C$27,'Raw Data'!V26,"")</f>
        <v>WEDC</v>
      </c>
      <c r="W28" s="3" t="str">
        <f ca="1">IF(Lists!$C$26&lt;Lists!$C$27,'Raw Data'!W26,"")</f>
        <v>LAB</v>
      </c>
    </row>
    <row r="29" spans="1:23" x14ac:dyDescent="0.25">
      <c r="A29" s="29" t="s">
        <v>79</v>
      </c>
      <c r="B29" s="29" t="s">
        <v>80</v>
      </c>
      <c r="C29" s="3">
        <f ca="1">IF(Lists!$C$26&lt;Lists!$C$27,'Raw Data'!C29,"")</f>
        <v>42990.720000000001</v>
      </c>
      <c r="D29" s="3">
        <f ca="1">IF(Lists!$C$26&lt;Lists!$C$27,'Raw Data'!D29,"")</f>
        <v>14018.33</v>
      </c>
      <c r="E29" s="3">
        <f ca="1">IF(Lists!$C$26&lt;Lists!$C$27,'Raw Data'!E29,"")</f>
        <v>57009.05</v>
      </c>
      <c r="I29" s="27">
        <f ca="1">IF(Lists!$C$26&lt;Lists!$C$27,'Raw Data'!I29,"")</f>
        <v>0.24589657256172484</v>
      </c>
      <c r="J29" s="3">
        <f ca="1">IF(Lists!$C$26&lt;Lists!$C$27,'Raw Data'!J29,"")</f>
        <v>3204</v>
      </c>
      <c r="K29" s="3">
        <f ca="1">IF(Lists!$C$26&lt;Lists!$C$27,'Raw Data'!K29,"")</f>
        <v>787.85261848776634</v>
      </c>
      <c r="L29" s="3">
        <f ca="1">IF(Lists!$C$26&lt;Lists!$C$27,'Raw Data'!L29,"")</f>
        <v>3991.8526184877664</v>
      </c>
      <c r="U29" s="3" t="str">
        <f ca="1">IF(Lists!$C$26&lt;Lists!$C$27,'Raw Data'!U27,"")</f>
        <v>EO</v>
      </c>
      <c r="V29" s="3" t="str">
        <f ca="1">IF(Lists!$C$26&lt;Lists!$C$27,'Raw Data'!V27,"")</f>
        <v>Enterprise Office</v>
      </c>
      <c r="W29" s="3" t="str">
        <f ca="1">IF(Lists!$C$26&lt;Lists!$C$27,'Raw Data'!W27,"")</f>
        <v>LAB</v>
      </c>
    </row>
    <row r="30" spans="1:23" x14ac:dyDescent="0.25">
      <c r="A30" s="29" t="s">
        <v>79</v>
      </c>
      <c r="B30" s="29" t="s">
        <v>81</v>
      </c>
      <c r="C30" s="3">
        <f ca="1">IF(Lists!$C$26&lt;Lists!$C$27,'Raw Data'!C30,"")</f>
        <v>44297.760000000002</v>
      </c>
      <c r="D30" s="3">
        <f ca="1">IF(Lists!$C$26&lt;Lists!$C$27,'Raw Data'!D30,"")</f>
        <v>14481.03</v>
      </c>
      <c r="E30" s="3">
        <f ca="1">IF(Lists!$C$26&lt;Lists!$C$27,'Raw Data'!E30,"")</f>
        <v>58778.79</v>
      </c>
      <c r="I30" s="27">
        <f ca="1">IF(Lists!$C$26&lt;Lists!$C$27,'Raw Data'!I30,"")</f>
        <v>0.24636488774267046</v>
      </c>
      <c r="J30" s="3">
        <f ca="1">IF(Lists!$C$26&lt;Lists!$C$27,'Raw Data'!J30,"")</f>
        <v>3204</v>
      </c>
      <c r="K30" s="3">
        <f ca="1">IF(Lists!$C$26&lt;Lists!$C$27,'Raw Data'!K30,"")</f>
        <v>789.35310032751613</v>
      </c>
      <c r="L30" s="3">
        <f ca="1">IF(Lists!$C$26&lt;Lists!$C$27,'Raw Data'!L30,"")</f>
        <v>3993.3531003275161</v>
      </c>
      <c r="U30" s="3" t="str">
        <f ca="1">IF(Lists!$C$26&lt;Lists!$C$27,'Raw Data'!U28,"")</f>
        <v>LL</v>
      </c>
      <c r="V30" s="3" t="str">
        <f ca="1">IF(Lists!$C$26&lt;Lists!$C$27,'Raw Data'!V28,"")</f>
        <v>Loughborough in London</v>
      </c>
      <c r="W30" s="3" t="str">
        <f ca="1">IF(Lists!$C$26&lt;Lists!$C$27,'Raw Data'!W28,"")</f>
        <v>LAB</v>
      </c>
    </row>
    <row r="31" spans="1:23" x14ac:dyDescent="0.25">
      <c r="A31" s="29" t="s">
        <v>79</v>
      </c>
      <c r="B31" s="29" t="s">
        <v>82</v>
      </c>
      <c r="C31" s="3">
        <f ca="1">IF(Lists!$C$26&lt;Lists!$C$27,'Raw Data'!C31,"")</f>
        <v>45597.06</v>
      </c>
      <c r="D31" s="3">
        <f ca="1">IF(Lists!$C$26&lt;Lists!$C$27,'Raw Data'!D31,"")</f>
        <v>14940.98</v>
      </c>
      <c r="E31" s="3">
        <f ca="1">IF(Lists!$C$26&lt;Lists!$C$27,'Raw Data'!E31,"")</f>
        <v>60538.039999999994</v>
      </c>
      <c r="I31" s="27">
        <f ca="1">IF(Lists!$C$26&lt;Lists!$C$27,'Raw Data'!I31,"")</f>
        <v>0.24680316706652547</v>
      </c>
      <c r="J31" s="3">
        <f ca="1">IF(Lists!$C$26&lt;Lists!$C$27,'Raw Data'!J31,"")</f>
        <v>3204</v>
      </c>
      <c r="K31" s="3">
        <f ca="1">IF(Lists!$C$26&lt;Lists!$C$27,'Raw Data'!K31,"")</f>
        <v>790.75734728114764</v>
      </c>
      <c r="L31" s="3">
        <f ca="1">IF(Lists!$C$26&lt;Lists!$C$27,'Raw Data'!L31,"")</f>
        <v>3994.7573472811478</v>
      </c>
    </row>
    <row r="32" spans="1:23" x14ac:dyDescent="0.25">
      <c r="A32" s="29" t="s">
        <v>79</v>
      </c>
      <c r="B32" s="29" t="s">
        <v>83</v>
      </c>
      <c r="C32" s="3">
        <f ca="1">IF(Lists!$C$26&lt;Lists!$C$27,'Raw Data'!C32,"")</f>
        <v>46958.61</v>
      </c>
      <c r="D32" s="3">
        <f ca="1">IF(Lists!$C$26&lt;Lists!$C$27,'Raw Data'!D32,"")</f>
        <v>15422.97</v>
      </c>
      <c r="E32" s="3">
        <f ca="1">IF(Lists!$C$26&lt;Lists!$C$27,'Raw Data'!E32,"")</f>
        <v>62381.58</v>
      </c>
      <c r="I32" s="27">
        <f ca="1">IF(Lists!$C$26&lt;Lists!$C$27,'Raw Data'!I32,"")</f>
        <v>0.24723596292367073</v>
      </c>
      <c r="J32" s="3">
        <f ca="1">IF(Lists!$C$26&lt;Lists!$C$27,'Raw Data'!J32,"")</f>
        <v>3204</v>
      </c>
      <c r="K32" s="3">
        <f ca="1">IF(Lists!$C$26&lt;Lists!$C$27,'Raw Data'!K32,"")</f>
        <v>792.14402520744102</v>
      </c>
      <c r="L32" s="3">
        <f ca="1">IF(Lists!$C$26&lt;Lists!$C$27,'Raw Data'!L32,"")</f>
        <v>3996.1440252074408</v>
      </c>
    </row>
    <row r="33" spans="1:12" x14ac:dyDescent="0.25">
      <c r="A33" s="29" t="s">
        <v>79</v>
      </c>
      <c r="B33" s="29" t="s">
        <v>84</v>
      </c>
      <c r="C33" s="3">
        <f ca="1">IF(Lists!$C$26&lt;Lists!$C$27,'Raw Data'!C33,"")</f>
        <v>49338.13</v>
      </c>
      <c r="D33" s="3">
        <f ca="1">IF(Lists!$C$26&lt;Lists!$C$27,'Raw Data'!D33,"")</f>
        <v>16499.09</v>
      </c>
      <c r="E33" s="3">
        <f ca="1">IF(Lists!$C$26&lt;Lists!$C$27,'Raw Data'!E33,"")</f>
        <v>65837.22</v>
      </c>
      <c r="I33" s="27">
        <f ca="1">IF(Lists!$C$26&lt;Lists!$C$27,'Raw Data'!I33,"")</f>
        <v>0.25060429343766338</v>
      </c>
      <c r="J33" s="3">
        <f ca="1">IF(Lists!$C$26&lt;Lists!$C$27,'Raw Data'!J33,"")</f>
        <v>3204</v>
      </c>
      <c r="K33" s="3">
        <f ca="1">IF(Lists!$C$26&lt;Lists!$C$27,'Raw Data'!K33,"")</f>
        <v>802.93615617427349</v>
      </c>
      <c r="L33" s="3">
        <f ca="1">IF(Lists!$C$26&lt;Lists!$C$27,'Raw Data'!L33,"")</f>
        <v>4006.9361561742735</v>
      </c>
    </row>
    <row r="34" spans="1:12" x14ac:dyDescent="0.25">
      <c r="A34" s="29" t="s">
        <v>79</v>
      </c>
      <c r="B34" s="29" t="s">
        <v>85</v>
      </c>
      <c r="C34" s="3">
        <f ca="1">IF(Lists!$C$26&lt;Lists!$C$27,'Raw Data'!C34,"")</f>
        <v>49808.54</v>
      </c>
      <c r="D34" s="3">
        <f ca="1">IF(Lists!$C$26&lt;Lists!$C$27,'Raw Data'!D34,"")</f>
        <v>16431.84</v>
      </c>
      <c r="E34" s="3">
        <f ca="1">IF(Lists!$C$26&lt;Lists!$C$27,'Raw Data'!E34,"")</f>
        <v>66240.38</v>
      </c>
      <c r="I34" s="27">
        <f ca="1">IF(Lists!$C$26&lt;Lists!$C$27,'Raw Data'!I34,"")</f>
        <v>0.24806379432002049</v>
      </c>
      <c r="J34" s="3">
        <f ca="1">IF(Lists!$C$26&lt;Lists!$C$27,'Raw Data'!J34,"")</f>
        <v>3204</v>
      </c>
      <c r="K34" s="3">
        <f ca="1">IF(Lists!$C$26&lt;Lists!$C$27,'Raw Data'!K34,"")</f>
        <v>794.79639700134567</v>
      </c>
      <c r="L34" s="3">
        <f ca="1">IF(Lists!$C$26&lt;Lists!$C$27,'Raw Data'!L34,"")</f>
        <v>3998.7963970013457</v>
      </c>
    </row>
    <row r="35" spans="1:12" x14ac:dyDescent="0.25">
      <c r="A35" s="29" t="s">
        <v>79</v>
      </c>
      <c r="B35" s="29" t="s">
        <v>86</v>
      </c>
      <c r="C35" s="3">
        <f ca="1">IF(Lists!$C$26&lt;Lists!$C$27,'Raw Data'!C35,"")</f>
        <v>51167.19</v>
      </c>
      <c r="D35" s="3">
        <f ca="1">IF(Lists!$C$26&lt;Lists!$C$27,'Raw Data'!D35,"")</f>
        <v>16912.810000000001</v>
      </c>
      <c r="E35" s="3">
        <f ca="1">IF(Lists!$C$26&lt;Lists!$C$27,'Raw Data'!E35,"")</f>
        <v>68080</v>
      </c>
      <c r="I35" s="27">
        <f ca="1">IF(Lists!$C$26&lt;Lists!$C$27,'Raw Data'!I35,"")</f>
        <v>0.24842552878965923</v>
      </c>
      <c r="J35" s="3">
        <f ca="1">IF(Lists!$C$26&lt;Lists!$C$27,'Raw Data'!J35,"")</f>
        <v>3204</v>
      </c>
      <c r="K35" s="3">
        <f ca="1">IF(Lists!$C$26&lt;Lists!$C$27,'Raw Data'!K35,"")</f>
        <v>795.95539424206822</v>
      </c>
      <c r="L35" s="3">
        <f ca="1">IF(Lists!$C$26&lt;Lists!$C$27,'Raw Data'!L35,"")</f>
        <v>3999.955394242068</v>
      </c>
    </row>
    <row r="36" spans="1:12" x14ac:dyDescent="0.25">
      <c r="A36" s="29" t="s">
        <v>87</v>
      </c>
      <c r="B36" s="29" t="s">
        <v>88</v>
      </c>
      <c r="C36" s="3">
        <f ca="1">IF(Lists!$C$26&lt;Lists!$C$27,'Raw Data'!C36,"")</f>
        <v>54410.09</v>
      </c>
      <c r="D36" s="3">
        <f ca="1">IF(Lists!$C$26&lt;Lists!$C$27,'Raw Data'!D36,"")</f>
        <v>18060.8</v>
      </c>
      <c r="E36" s="3">
        <f ca="1">IF(Lists!$C$26&lt;Lists!$C$27,'Raw Data'!E36,"")</f>
        <v>72470.89</v>
      </c>
      <c r="I36" s="27">
        <f ca="1">IF(Lists!$C$26&lt;Lists!$C$27,'Raw Data'!I36,"")</f>
        <v>0.24921454669592163</v>
      </c>
      <c r="J36" s="3">
        <f ca="1">IF(Lists!$C$26&lt;Lists!$C$27,'Raw Data'!J36,"")</f>
        <v>3204</v>
      </c>
      <c r="K36" s="3">
        <f ca="1">IF(Lists!$C$26&lt;Lists!$C$27,'Raw Data'!K36,"")</f>
        <v>798.48340761373288</v>
      </c>
      <c r="L36" s="3">
        <f ca="1">IF(Lists!$C$26&lt;Lists!$C$27,'Raw Data'!L36,"")</f>
        <v>4002.4834076137331</v>
      </c>
    </row>
    <row r="37" spans="1:12" x14ac:dyDescent="0.25">
      <c r="A37" s="29" t="s">
        <v>87</v>
      </c>
      <c r="B37" s="29" t="s">
        <v>89</v>
      </c>
      <c r="C37" s="3">
        <f ca="1">IF(Lists!$C$26&lt;Lists!$C$27,'Raw Data'!C37,"")</f>
        <v>56037.54</v>
      </c>
      <c r="D37" s="3">
        <f ca="1">IF(Lists!$C$26&lt;Lists!$C$27,'Raw Data'!D37,"")</f>
        <v>18636.91</v>
      </c>
      <c r="E37" s="3">
        <f ca="1">IF(Lists!$C$26&lt;Lists!$C$27,'Raw Data'!E37,"")</f>
        <v>74674.45</v>
      </c>
      <c r="I37" s="27">
        <f ca="1">IF(Lists!$C$26&lt;Lists!$C$27,'Raw Data'!I37,"")</f>
        <v>0.24957545720122479</v>
      </c>
      <c r="J37" s="3">
        <f ca="1">IF(Lists!$C$26&lt;Lists!$C$27,'Raw Data'!J37,"")</f>
        <v>3204</v>
      </c>
      <c r="K37" s="3">
        <f ca="1">IF(Lists!$C$26&lt;Lists!$C$27,'Raw Data'!K37,"")</f>
        <v>799.63976487272419</v>
      </c>
      <c r="L37" s="3">
        <f ca="1">IF(Lists!$C$26&lt;Lists!$C$27,'Raw Data'!L37,"")</f>
        <v>4003.6397648727243</v>
      </c>
    </row>
    <row r="38" spans="1:12" x14ac:dyDescent="0.25">
      <c r="A38" s="29" t="s">
        <v>87</v>
      </c>
      <c r="B38" s="29" t="s">
        <v>90</v>
      </c>
      <c r="C38" s="3">
        <f ca="1">IF(Lists!$C$26&lt;Lists!$C$27,'Raw Data'!C38,"")</f>
        <v>58878.19</v>
      </c>
      <c r="D38" s="3">
        <f ca="1">IF(Lists!$C$26&lt;Lists!$C$27,'Raw Data'!D38,"")</f>
        <v>19938.29</v>
      </c>
      <c r="E38" s="3">
        <f ca="1">IF(Lists!$C$26&lt;Lists!$C$27,'Raw Data'!E38,"")</f>
        <v>78816.48000000001</v>
      </c>
      <c r="I38" s="27">
        <f ca="1">IF(Lists!$C$26&lt;Lists!$C$27,'Raw Data'!I38,"")</f>
        <v>0.25297107914486916</v>
      </c>
      <c r="J38" s="3">
        <f ca="1">IF(Lists!$C$26&lt;Lists!$C$27,'Raw Data'!J38,"")</f>
        <v>3204</v>
      </c>
      <c r="K38" s="3">
        <f ca="1">IF(Lists!$C$26&lt;Lists!$C$27,'Raw Data'!K38,"")</f>
        <v>810.51933758016082</v>
      </c>
      <c r="L38" s="3">
        <f ca="1">IF(Lists!$C$26&lt;Lists!$C$27,'Raw Data'!L38,"")</f>
        <v>4014.5193375801609</v>
      </c>
    </row>
    <row r="39" spans="1:12" x14ac:dyDescent="0.25">
      <c r="A39" s="29" t="s">
        <v>87</v>
      </c>
      <c r="B39" s="29" t="s">
        <v>91</v>
      </c>
      <c r="C39" s="3">
        <f ca="1">IF(Lists!$C$26&lt;Lists!$C$27,'Raw Data'!C39,"")</f>
        <v>59440.2</v>
      </c>
      <c r="D39" s="3">
        <f ca="1">IF(Lists!$C$26&lt;Lists!$C$27,'Raw Data'!D39,"")</f>
        <v>19841.439999999999</v>
      </c>
      <c r="E39" s="3">
        <f ca="1">IF(Lists!$C$26&lt;Lists!$C$27,'Raw Data'!E39,"")</f>
        <v>79281.64</v>
      </c>
      <c r="I39" s="27">
        <f ca="1">IF(Lists!$C$26&lt;Lists!$C$27,'Raw Data'!I39,"")</f>
        <v>0.25026525687410095</v>
      </c>
      <c r="J39" s="3">
        <f ca="1">IF(Lists!$C$26&lt;Lists!$C$27,'Raw Data'!J39,"")</f>
        <v>3204</v>
      </c>
      <c r="K39" s="3">
        <f ca="1">IF(Lists!$C$26&lt;Lists!$C$27,'Raw Data'!K39,"")</f>
        <v>801.84988302461943</v>
      </c>
      <c r="L39" s="3">
        <f ca="1">IF(Lists!$C$26&lt;Lists!$C$27,'Raw Data'!L39,"")</f>
        <v>4005.8498830246194</v>
      </c>
    </row>
    <row r="40" spans="1:12" x14ac:dyDescent="0.25">
      <c r="A40" s="29" t="s">
        <v>87</v>
      </c>
      <c r="B40" s="29" t="s">
        <v>92</v>
      </c>
      <c r="C40" s="3">
        <f ca="1">IF(Lists!$C$26&lt;Lists!$C$27,'Raw Data'!C40,"")</f>
        <v>61061.32</v>
      </c>
      <c r="D40" s="3">
        <f ca="1">IF(Lists!$C$26&lt;Lists!$C$27,'Raw Data'!D40,"")</f>
        <v>20415.330000000002</v>
      </c>
      <c r="E40" s="3">
        <f ca="1">IF(Lists!$C$26&lt;Lists!$C$27,'Raw Data'!E40,"")</f>
        <v>81476.649999999994</v>
      </c>
      <c r="I40" s="27">
        <f ca="1">IF(Lists!$C$26&lt;Lists!$C$27,'Raw Data'!I40,"")</f>
        <v>0.25056663473522789</v>
      </c>
      <c r="J40" s="3">
        <f ca="1">IF(Lists!$C$26&lt;Lists!$C$27,'Raw Data'!J40,"")</f>
        <v>3204</v>
      </c>
      <c r="K40" s="3">
        <f ca="1">IF(Lists!$C$26&lt;Lists!$C$27,'Raw Data'!K40,"")</f>
        <v>802.8154976916702</v>
      </c>
      <c r="L40" s="3">
        <f ca="1">IF(Lists!$C$26&lt;Lists!$C$27,'Raw Data'!L40,"")</f>
        <v>4006.8154976916703</v>
      </c>
    </row>
    <row r="41" spans="1:12" x14ac:dyDescent="0.25">
      <c r="A41" s="29" t="s">
        <v>93</v>
      </c>
      <c r="B41" s="30">
        <v>80000</v>
      </c>
      <c r="C41" s="3">
        <f ca="1">IF(Lists!$C$26&lt;Lists!$C$27,'Raw Data'!C41,"")</f>
        <v>80000</v>
      </c>
      <c r="D41" s="3">
        <f ca="1">IF(Lists!$C$26&lt;Lists!$C$27,'Raw Data'!D41,"")</f>
        <v>20800</v>
      </c>
      <c r="E41" s="3">
        <f ca="1">IF(Lists!$C$26&lt;Lists!$C$27,'Raw Data'!E41,"")</f>
        <v>100800</v>
      </c>
      <c r="I41" s="27">
        <f ca="1">IF(Lists!$C$26&lt;Lists!$C$27,'Raw Data'!I41,"")</f>
        <v>0.26</v>
      </c>
      <c r="J41" s="3">
        <f ca="1">IF(Lists!$C$26&lt;Lists!$C$27,'Raw Data'!J41,"")</f>
        <v>3204</v>
      </c>
      <c r="K41" s="3">
        <f ca="1">IF(Lists!$C$26&lt;Lists!$C$27,'Raw Data'!K41,"")</f>
        <v>833.04000000000008</v>
      </c>
      <c r="L41" s="3">
        <f ca="1">IF(Lists!$C$26&lt;Lists!$C$27,'Raw Data'!L41,"")</f>
        <v>4037.04</v>
      </c>
    </row>
    <row r="42" spans="1:12" x14ac:dyDescent="0.25">
      <c r="A42" s="29" t="s">
        <v>93</v>
      </c>
      <c r="B42" s="30">
        <v>90000</v>
      </c>
      <c r="C42" s="3">
        <f ca="1">IF(Lists!$C$26&lt;Lists!$C$27,'Raw Data'!C42,"")</f>
        <v>90000</v>
      </c>
      <c r="D42" s="3">
        <f ca="1">IF(Lists!$C$26&lt;Lists!$C$27,'Raw Data'!D42,"")</f>
        <v>23850</v>
      </c>
      <c r="E42" s="3">
        <f ca="1">IF(Lists!$C$26&lt;Lists!$C$27,'Raw Data'!E42,"")</f>
        <v>113850</v>
      </c>
      <c r="I42" s="27">
        <f ca="1">IF(Lists!$C$26&lt;Lists!$C$27,'Raw Data'!I42,"")</f>
        <v>0.26500000000000001</v>
      </c>
      <c r="J42" s="3">
        <f ca="1">IF(Lists!$C$26&lt;Lists!$C$27,'Raw Data'!J42,"")</f>
        <v>3204</v>
      </c>
      <c r="K42" s="3">
        <f ca="1">IF(Lists!$C$26&lt;Lists!$C$27,'Raw Data'!K42,"")</f>
        <v>849.06000000000006</v>
      </c>
      <c r="L42" s="3">
        <f ca="1">IF(Lists!$C$26&lt;Lists!$C$27,'Raw Data'!L42,"")</f>
        <v>4053.06</v>
      </c>
    </row>
    <row r="43" spans="1:12" x14ac:dyDescent="0.25">
      <c r="A43" s="29" t="s">
        <v>93</v>
      </c>
      <c r="B43" s="30">
        <v>100000</v>
      </c>
      <c r="C43" s="3">
        <f ca="1">IF(Lists!$C$26&lt;Lists!$C$27,'Raw Data'!C43,"")</f>
        <v>100000</v>
      </c>
      <c r="D43" s="3">
        <f ca="1">IF(Lists!$C$26&lt;Lists!$C$27,'Raw Data'!D43,"")</f>
        <v>27000</v>
      </c>
      <c r="E43" s="3">
        <f ca="1">IF(Lists!$C$26&lt;Lists!$C$27,'Raw Data'!E43,"")</f>
        <v>127000</v>
      </c>
      <c r="I43" s="27">
        <f ca="1">IF(Lists!$C$26&lt;Lists!$C$27,'Raw Data'!I43,"")</f>
        <v>0.27</v>
      </c>
      <c r="J43" s="3">
        <f ca="1">IF(Lists!$C$26&lt;Lists!$C$27,'Raw Data'!J43,"")</f>
        <v>3204</v>
      </c>
      <c r="K43" s="3">
        <f ca="1">IF(Lists!$C$26&lt;Lists!$C$27,'Raw Data'!K43,"")</f>
        <v>865.08</v>
      </c>
      <c r="L43" s="3">
        <f ca="1">IF(Lists!$C$26&lt;Lists!$C$27,'Raw Data'!L43,"")</f>
        <v>4069.08</v>
      </c>
    </row>
    <row r="44" spans="1:12" x14ac:dyDescent="0.25">
      <c r="A44" s="29" t="s">
        <v>93</v>
      </c>
      <c r="B44" s="30">
        <v>110000</v>
      </c>
      <c r="C44" s="3">
        <f ca="1">IF(Lists!$C$26&lt;Lists!$C$27,'Raw Data'!C44,"")</f>
        <v>110000</v>
      </c>
      <c r="D44" s="3">
        <f ca="1">IF(Lists!$C$26&lt;Lists!$C$27,'Raw Data'!D44,"")</f>
        <v>30250.000000000004</v>
      </c>
      <c r="E44" s="3">
        <f ca="1">IF(Lists!$C$26&lt;Lists!$C$27,'Raw Data'!E44,"")</f>
        <v>140250</v>
      </c>
      <c r="I44" s="27">
        <f ca="1">IF(Lists!$C$26&lt;Lists!$C$27,'Raw Data'!I44,"")</f>
        <v>0.27500000000000002</v>
      </c>
      <c r="J44" s="3">
        <f ca="1">IF(Lists!$C$26&lt;Lists!$C$27,'Raw Data'!J44,"")</f>
        <v>3204</v>
      </c>
      <c r="K44" s="3">
        <f ca="1">IF(Lists!$C$26&lt;Lists!$C$27,'Raw Data'!K44,"")</f>
        <v>881.1</v>
      </c>
      <c r="L44" s="3">
        <f ca="1">IF(Lists!$C$26&lt;Lists!$C$27,'Raw Data'!L44,"")</f>
        <v>4085.1</v>
      </c>
    </row>
    <row r="45" spans="1:12" x14ac:dyDescent="0.25">
      <c r="A45" s="29" t="s">
        <v>93</v>
      </c>
      <c r="B45" s="30">
        <v>120000</v>
      </c>
      <c r="C45" s="3">
        <f ca="1">IF(Lists!$C$26&lt;Lists!$C$27,'Raw Data'!C45,"")</f>
        <v>120000</v>
      </c>
      <c r="D45" s="3">
        <f ca="1">IF(Lists!$C$26&lt;Lists!$C$27,'Raw Data'!D45,"")</f>
        <v>33600</v>
      </c>
      <c r="E45" s="3">
        <f ca="1">IF(Lists!$C$26&lt;Lists!$C$27,'Raw Data'!E45,"")</f>
        <v>153600</v>
      </c>
      <c r="I45" s="27">
        <f ca="1">IF(Lists!$C$26&lt;Lists!$C$27,'Raw Data'!I45,"")</f>
        <v>0.28000000000000003</v>
      </c>
      <c r="J45" s="3">
        <f ca="1">IF(Lists!$C$26&lt;Lists!$C$27,'Raw Data'!J45,"")</f>
        <v>3204</v>
      </c>
      <c r="K45" s="3">
        <f ca="1">IF(Lists!$C$26&lt;Lists!$C$27,'Raw Data'!K45,"")</f>
        <v>897.12000000000012</v>
      </c>
      <c r="L45" s="3">
        <f ca="1">IF(Lists!$C$26&lt;Lists!$C$27,'Raw Data'!L45,"")</f>
        <v>4101.12</v>
      </c>
    </row>
    <row r="46" spans="1:12" x14ac:dyDescent="0.25">
      <c r="A46" s="29" t="s">
        <v>93</v>
      </c>
      <c r="B46" s="30">
        <v>130000</v>
      </c>
      <c r="C46" s="3">
        <f ca="1">IF(Lists!$C$26&lt;Lists!$C$27,'Raw Data'!C46,"")</f>
        <v>130000</v>
      </c>
      <c r="D46" s="3">
        <f ca="1">IF(Lists!$C$26&lt;Lists!$C$27,'Raw Data'!D46,"")</f>
        <v>37050</v>
      </c>
      <c r="E46" s="3">
        <f ca="1">IF(Lists!$C$26&lt;Lists!$C$27,'Raw Data'!E46,"")</f>
        <v>167050</v>
      </c>
      <c r="I46" s="27">
        <f ca="1">IF(Lists!$C$26&lt;Lists!$C$27,'Raw Data'!I46,"")</f>
        <v>0.28499999999999998</v>
      </c>
      <c r="J46" s="3">
        <f ca="1">IF(Lists!$C$26&lt;Lists!$C$27,'Raw Data'!J46,"")</f>
        <v>3204</v>
      </c>
      <c r="K46" s="3">
        <f ca="1">IF(Lists!$C$26&lt;Lists!$C$27,'Raw Data'!K46,"")</f>
        <v>913.13999999999987</v>
      </c>
      <c r="L46" s="3">
        <f ca="1">IF(Lists!$C$26&lt;Lists!$C$27,'Raw Data'!L46,"")</f>
        <v>4117.1399999999994</v>
      </c>
    </row>
    <row r="47" spans="1:12" x14ac:dyDescent="0.25">
      <c r="A47" s="29" t="s">
        <v>93</v>
      </c>
      <c r="B47" s="30">
        <v>140000</v>
      </c>
      <c r="C47" s="3">
        <f ca="1">IF(Lists!$C$26&lt;Lists!$C$27,'Raw Data'!C47,"")</f>
        <v>140000</v>
      </c>
      <c r="D47" s="3">
        <f ca="1">IF(Lists!$C$26&lt;Lists!$C$27,'Raw Data'!D47,"")</f>
        <v>40600</v>
      </c>
      <c r="E47" s="3">
        <f ca="1">IF(Lists!$C$26&lt;Lists!$C$27,'Raw Data'!E47,"")</f>
        <v>180600</v>
      </c>
      <c r="I47" s="27">
        <f ca="1">IF(Lists!$C$26&lt;Lists!$C$27,'Raw Data'!I47,"")</f>
        <v>0.28999999999999998</v>
      </c>
      <c r="J47" s="3">
        <f ca="1">IF(Lists!$C$26&lt;Lists!$C$27,'Raw Data'!J47,"")</f>
        <v>3204</v>
      </c>
      <c r="K47" s="3">
        <f ca="1">IF(Lists!$C$26&lt;Lists!$C$27,'Raw Data'!K47,"")</f>
        <v>929.16</v>
      </c>
      <c r="L47" s="3">
        <f ca="1">IF(Lists!$C$26&lt;Lists!$C$27,'Raw Data'!L47,"")</f>
        <v>4133.16</v>
      </c>
    </row>
    <row r="48" spans="1:12" x14ac:dyDescent="0.25">
      <c r="A48" s="29" t="s">
        <v>93</v>
      </c>
      <c r="B48" s="30">
        <v>150000</v>
      </c>
      <c r="C48" s="3">
        <f ca="1">IF(Lists!$C$26&lt;Lists!$C$27,'Raw Data'!C48,"")</f>
        <v>150000</v>
      </c>
      <c r="D48" s="3">
        <f ca="1">IF(Lists!$C$26&lt;Lists!$C$27,'Raw Data'!D48,"")</f>
        <v>44250</v>
      </c>
      <c r="E48" s="3">
        <f ca="1">IF(Lists!$C$26&lt;Lists!$C$27,'Raw Data'!E48,"")</f>
        <v>194250</v>
      </c>
      <c r="I48" s="27">
        <f ca="1">IF(Lists!$C$26&lt;Lists!$C$27,'Raw Data'!I48,"")</f>
        <v>0.29499999999999998</v>
      </c>
      <c r="J48" s="3">
        <f ca="1">IF(Lists!$C$26&lt;Lists!$C$27,'Raw Data'!J48,"")</f>
        <v>3204</v>
      </c>
      <c r="K48" s="3">
        <f ca="1">IF(Lists!$C$26&lt;Lists!$C$27,'Raw Data'!K48,"")</f>
        <v>945.18</v>
      </c>
      <c r="L48" s="3">
        <f ca="1">IF(Lists!$C$26&lt;Lists!$C$27,'Raw Data'!L48,"")</f>
        <v>4149.18</v>
      </c>
    </row>
    <row r="50" spans="1:2" x14ac:dyDescent="0.25">
      <c r="A50" s="2" t="s">
        <v>94</v>
      </c>
      <c r="B50" s="2" t="s">
        <v>95</v>
      </c>
    </row>
    <row r="51" spans="1:2" x14ac:dyDescent="0.25">
      <c r="A51" s="2" t="s">
        <v>96</v>
      </c>
    </row>
    <row r="52" spans="1:2" x14ac:dyDescent="0.25">
      <c r="A52" s="2" t="s">
        <v>97</v>
      </c>
    </row>
  </sheetData>
  <mergeCells count="7">
    <mergeCell ref="B3:E3"/>
    <mergeCell ref="B2:E2"/>
    <mergeCell ref="U2:W2"/>
    <mergeCell ref="O12:S12"/>
    <mergeCell ref="N3:Q3"/>
    <mergeCell ref="I2:L2"/>
    <mergeCell ref="I3:L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1A-E05A-4A78-86D1-AE00639B20C0}">
  <sheetPr codeName="Sheet4"/>
  <dimension ref="A2:Y54"/>
  <sheetViews>
    <sheetView showGridLines="0" zoomScale="90" zoomScaleNormal="90" workbookViewId="0">
      <selection activeCell="N26" sqref="N26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" style="2" bestFit="1" customWidth="1"/>
    <col min="4" max="5" width="12" style="2" bestFit="1" customWidth="1"/>
    <col min="6" max="6" width="1.7109375" style="2" customWidth="1"/>
    <col min="7" max="8" width="3.7109375" style="2" customWidth="1"/>
    <col min="9" max="12" width="9.85546875" style="2" bestFit="1" customWidth="1"/>
    <col min="13" max="13" width="3.7109375" style="2" customWidth="1"/>
    <col min="14" max="14" width="10.28515625" style="2" bestFit="1" customWidth="1"/>
    <col min="15" max="15" width="13" style="2" customWidth="1"/>
    <col min="16" max="19" width="11" style="2" bestFit="1" customWidth="1"/>
    <col min="20" max="21" width="9.140625" style="2"/>
    <col min="22" max="22" width="54.42578125" style="2" bestFit="1" customWidth="1"/>
    <col min="23" max="24" width="9.140625" style="2"/>
    <col min="25" max="25" width="13" style="2" customWidth="1"/>
    <col min="26" max="16384" width="9.140625" style="2"/>
  </cols>
  <sheetData>
    <row r="2" spans="1:25" x14ac:dyDescent="0.25">
      <c r="B2" s="74" t="s">
        <v>21</v>
      </c>
      <c r="C2" s="75"/>
      <c r="D2" s="75"/>
      <c r="E2" s="76"/>
      <c r="F2" s="24"/>
      <c r="I2" s="74" t="s">
        <v>22</v>
      </c>
      <c r="J2" s="82"/>
      <c r="K2" s="82"/>
      <c r="L2" s="84"/>
      <c r="U2" s="77" t="s">
        <v>23</v>
      </c>
      <c r="V2" s="78"/>
      <c r="W2" s="78"/>
    </row>
    <row r="3" spans="1:25" x14ac:dyDescent="0.25">
      <c r="B3" s="71" t="s">
        <v>24</v>
      </c>
      <c r="C3" s="72"/>
      <c r="D3" s="72"/>
      <c r="E3" s="73"/>
      <c r="I3" s="74" t="s">
        <v>25</v>
      </c>
      <c r="J3" s="82"/>
      <c r="K3" s="82"/>
      <c r="L3" s="84"/>
      <c r="N3" s="74" t="s">
        <v>26</v>
      </c>
      <c r="O3" s="82"/>
      <c r="P3" s="82"/>
      <c r="Q3" s="83"/>
      <c r="U3" s="33" t="s">
        <v>27</v>
      </c>
      <c r="V3" s="33" t="s">
        <v>28</v>
      </c>
      <c r="W3" s="33" t="s">
        <v>29</v>
      </c>
    </row>
    <row r="4" spans="1:25" x14ac:dyDescent="0.25">
      <c r="A4" s="4" t="s">
        <v>30</v>
      </c>
      <c r="B4" s="4" t="s">
        <v>31</v>
      </c>
      <c r="C4" s="4" t="s">
        <v>24</v>
      </c>
      <c r="D4" s="4" t="s">
        <v>32</v>
      </c>
      <c r="E4" s="4" t="s">
        <v>33</v>
      </c>
      <c r="F4" s="1"/>
      <c r="I4" s="25" t="s">
        <v>34</v>
      </c>
      <c r="J4" s="25" t="s">
        <v>35</v>
      </c>
      <c r="K4" s="15" t="s">
        <v>36</v>
      </c>
      <c r="L4" s="15" t="s">
        <v>33</v>
      </c>
      <c r="N4" s="12"/>
      <c r="O4" s="26" t="s">
        <v>37</v>
      </c>
      <c r="P4" s="68" t="s">
        <v>38</v>
      </c>
      <c r="Q4" s="26" t="s">
        <v>39</v>
      </c>
      <c r="U4" s="50" t="s">
        <v>98</v>
      </c>
      <c r="V4" s="50" t="s">
        <v>99</v>
      </c>
      <c r="W4" s="50" t="s">
        <v>100</v>
      </c>
      <c r="Y4" s="4">
        <f>C5/C6*100</f>
        <v>97.35755175655153</v>
      </c>
    </row>
    <row r="5" spans="1:25" x14ac:dyDescent="0.25">
      <c r="A5" s="4" t="s">
        <v>40</v>
      </c>
      <c r="B5" s="4" t="s">
        <v>41</v>
      </c>
      <c r="C5" s="3">
        <v>21398.080000000002</v>
      </c>
      <c r="D5" s="3">
        <v>6353.14</v>
      </c>
      <c r="E5" s="3">
        <f t="shared" ref="E5:E48" si="0">C5+D5</f>
        <v>27751.22</v>
      </c>
      <c r="F5" s="1"/>
      <c r="I5" s="27">
        <f>D5/E5</f>
        <v>0.22893191722742279</v>
      </c>
      <c r="J5" s="13">
        <f>3204</f>
        <v>3204</v>
      </c>
      <c r="K5" s="13">
        <f t="shared" ref="K5:K48" si="1">I5*J5</f>
        <v>733.49786279666262</v>
      </c>
      <c r="L5" s="13">
        <f t="shared" ref="L5" si="2">SUM(J5:K5)</f>
        <v>3937.4978627966625</v>
      </c>
      <c r="N5" s="12" t="s">
        <v>42</v>
      </c>
      <c r="O5" s="12">
        <v>11</v>
      </c>
      <c r="P5" s="12">
        <v>12</v>
      </c>
      <c r="Q5" s="12">
        <v>1</v>
      </c>
      <c r="U5" s="50" t="s">
        <v>101</v>
      </c>
      <c r="V5" s="50" t="s">
        <v>102</v>
      </c>
      <c r="W5" s="50" t="s">
        <v>103</v>
      </c>
      <c r="Y5" s="4">
        <f t="shared" ref="Y5:Y22" si="3">C6/C7*100</f>
        <v>97.346742900472194</v>
      </c>
    </row>
    <row r="6" spans="1:25" x14ac:dyDescent="0.25">
      <c r="A6" s="4" t="s">
        <v>40</v>
      </c>
      <c r="B6" s="4" t="s">
        <v>43</v>
      </c>
      <c r="C6" s="3">
        <v>21978.86</v>
      </c>
      <c r="D6" s="3">
        <v>6558.16</v>
      </c>
      <c r="E6" s="3">
        <f t="shared" si="0"/>
        <v>28537.02</v>
      </c>
      <c r="F6" s="1"/>
      <c r="I6" s="27">
        <f t="shared" ref="I6:I40" si="4">D6/E6</f>
        <v>0.22981236302879557</v>
      </c>
      <c r="J6" s="13">
        <f>3204</f>
        <v>3204</v>
      </c>
      <c r="K6" s="13">
        <f t="shared" si="1"/>
        <v>736.31881114426096</v>
      </c>
      <c r="L6" s="13">
        <f t="shared" ref="L6:L40" si="5">SUM(J6:K6)</f>
        <v>3940.318811144261</v>
      </c>
      <c r="N6" s="12" t="s">
        <v>44</v>
      </c>
      <c r="O6" s="12">
        <v>1.02</v>
      </c>
      <c r="P6" s="12">
        <f>O6*1.02</f>
        <v>1.0404</v>
      </c>
      <c r="Q6" s="12">
        <f>P6*1.02</f>
        <v>1.0612079999999999</v>
      </c>
      <c r="U6" s="50" t="s">
        <v>104</v>
      </c>
      <c r="V6" s="50" t="s">
        <v>105</v>
      </c>
      <c r="W6" s="50" t="s">
        <v>100</v>
      </c>
      <c r="Y6" s="4">
        <f t="shared" si="3"/>
        <v>97.298824247318763</v>
      </c>
    </row>
    <row r="7" spans="1:25" x14ac:dyDescent="0.25">
      <c r="A7" s="4" t="s">
        <v>40</v>
      </c>
      <c r="B7" s="4" t="s">
        <v>45</v>
      </c>
      <c r="C7" s="3">
        <v>22577.91</v>
      </c>
      <c r="D7" s="3">
        <v>6769.62</v>
      </c>
      <c r="E7" s="3">
        <f t="shared" si="0"/>
        <v>29347.53</v>
      </c>
      <c r="F7" s="1"/>
      <c r="I7" s="27">
        <f t="shared" si="4"/>
        <v>0.23067086054601529</v>
      </c>
      <c r="J7" s="13">
        <f>3204</f>
        <v>3204</v>
      </c>
      <c r="K7" s="13">
        <f t="shared" si="1"/>
        <v>739.06943718943296</v>
      </c>
      <c r="L7" s="13">
        <f t="shared" si="5"/>
        <v>3943.0694371894328</v>
      </c>
      <c r="N7" s="12" t="s">
        <v>46</v>
      </c>
      <c r="O7" s="3">
        <f>3204</f>
        <v>3204</v>
      </c>
      <c r="P7" s="3">
        <f>O7*P6</f>
        <v>3333.4416000000001</v>
      </c>
      <c r="Q7" s="3">
        <f>O7*Q6</f>
        <v>3400.1104319999999</v>
      </c>
      <c r="U7" s="50" t="s">
        <v>106</v>
      </c>
      <c r="V7" s="50" t="s">
        <v>107</v>
      </c>
      <c r="W7" s="50" t="s">
        <v>103</v>
      </c>
      <c r="Y7" s="4">
        <f>C8/C9*100</f>
        <v>95.258681559035253</v>
      </c>
    </row>
    <row r="8" spans="1:25" x14ac:dyDescent="0.25">
      <c r="A8" s="4" t="s">
        <v>40</v>
      </c>
      <c r="B8" s="4" t="s">
        <v>47</v>
      </c>
      <c r="C8" s="3">
        <v>23204.71</v>
      </c>
      <c r="D8" s="3">
        <v>6990.89</v>
      </c>
      <c r="E8" s="3">
        <f t="shared" si="0"/>
        <v>30195.599999999999</v>
      </c>
      <c r="F8" s="1"/>
      <c r="I8" s="27">
        <f t="shared" si="4"/>
        <v>0.23152015525440794</v>
      </c>
      <c r="J8" s="13">
        <f>3204</f>
        <v>3204</v>
      </c>
      <c r="K8" s="13">
        <f t="shared" si="1"/>
        <v>741.79057743512305</v>
      </c>
      <c r="L8" s="13">
        <f t="shared" si="5"/>
        <v>3945.7905774351229</v>
      </c>
      <c r="N8" s="12" t="s">
        <v>33</v>
      </c>
      <c r="O8" s="3">
        <f>O7/12*O5</f>
        <v>2937</v>
      </c>
      <c r="P8" s="3">
        <f t="shared" ref="P8:Q8" si="6">P7/12*P5</f>
        <v>3333.4416000000001</v>
      </c>
      <c r="Q8" s="3">
        <f t="shared" si="6"/>
        <v>283.342536</v>
      </c>
      <c r="U8" s="50" t="s">
        <v>108</v>
      </c>
      <c r="V8" s="50" t="s">
        <v>109</v>
      </c>
      <c r="W8" s="50" t="s">
        <v>100</v>
      </c>
      <c r="Y8" s="4">
        <f t="shared" si="3"/>
        <v>99.061828243402488</v>
      </c>
    </row>
    <row r="9" spans="1:25" ht="15.75" thickBot="1" x14ac:dyDescent="0.3">
      <c r="A9" s="54" t="s">
        <v>40</v>
      </c>
      <c r="B9" s="54" t="s">
        <v>48</v>
      </c>
      <c r="C9" s="53">
        <v>24359.68</v>
      </c>
      <c r="D9" s="53">
        <v>7311.66</v>
      </c>
      <c r="E9" s="53">
        <f t="shared" si="0"/>
        <v>31671.34</v>
      </c>
      <c r="F9" s="1"/>
      <c r="I9" s="27">
        <f t="shared" si="4"/>
        <v>0.2308604561726785</v>
      </c>
      <c r="J9" s="13">
        <f>3204</f>
        <v>3204</v>
      </c>
      <c r="K9" s="13">
        <f t="shared" si="1"/>
        <v>739.6769015772619</v>
      </c>
      <c r="L9" s="13">
        <f t="shared" si="5"/>
        <v>3943.676901577262</v>
      </c>
      <c r="U9" s="50" t="s">
        <v>110</v>
      </c>
      <c r="V9" s="50" t="s">
        <v>111</v>
      </c>
      <c r="W9" s="50" t="s">
        <v>100</v>
      </c>
      <c r="Y9" s="4">
        <f t="shared" si="3"/>
        <v>97.353521636970825</v>
      </c>
    </row>
    <row r="10" spans="1:25" ht="15.75" thickTop="1" x14ac:dyDescent="0.25">
      <c r="A10" s="4" t="s">
        <v>40</v>
      </c>
      <c r="B10" s="4" t="s">
        <v>49</v>
      </c>
      <c r="C10" s="3">
        <v>24590.38</v>
      </c>
      <c r="D10" s="3">
        <v>7480.02</v>
      </c>
      <c r="E10" s="3">
        <f t="shared" si="0"/>
        <v>32070.400000000001</v>
      </c>
      <c r="F10" s="1"/>
      <c r="I10" s="27">
        <f t="shared" si="4"/>
        <v>0.23323750249451208</v>
      </c>
      <c r="J10" s="13">
        <f>3204</f>
        <v>3204</v>
      </c>
      <c r="K10" s="13">
        <f t="shared" si="1"/>
        <v>747.29295799241675</v>
      </c>
      <c r="L10" s="13">
        <f t="shared" si="5"/>
        <v>3951.2929579924166</v>
      </c>
      <c r="Q10" s="8">
        <f>SUM(O8:Q8)</f>
        <v>6553.7841360000002</v>
      </c>
      <c r="U10" s="50" t="s">
        <v>112</v>
      </c>
      <c r="V10" s="50" t="s">
        <v>113</v>
      </c>
      <c r="W10" s="50" t="s">
        <v>100</v>
      </c>
      <c r="Y10" s="4">
        <f t="shared" si="3"/>
        <v>96.768119467712793</v>
      </c>
    </row>
    <row r="11" spans="1:25" x14ac:dyDescent="0.25">
      <c r="A11" s="4" t="s">
        <v>40</v>
      </c>
      <c r="B11" s="4" t="s">
        <v>50</v>
      </c>
      <c r="C11" s="3">
        <v>25258.85</v>
      </c>
      <c r="D11" s="3">
        <v>7715.99</v>
      </c>
      <c r="E11" s="3">
        <f t="shared" si="0"/>
        <v>32974.839999999997</v>
      </c>
      <c r="F11" s="1"/>
      <c r="I11" s="27">
        <f t="shared" si="4"/>
        <v>0.23399628322684812</v>
      </c>
      <c r="J11" s="13">
        <f>3204</f>
        <v>3204</v>
      </c>
      <c r="K11" s="13">
        <f t="shared" si="1"/>
        <v>749.72409145882136</v>
      </c>
      <c r="L11" s="13">
        <f t="shared" si="5"/>
        <v>3953.7240914588215</v>
      </c>
      <c r="Q11" s="9"/>
      <c r="U11" s="50" t="s">
        <v>114</v>
      </c>
      <c r="V11" s="50" t="s">
        <v>115</v>
      </c>
      <c r="W11" s="50" t="s">
        <v>100</v>
      </c>
      <c r="Y11" s="4">
        <f t="shared" si="3"/>
        <v>97.199683032166732</v>
      </c>
    </row>
    <row r="12" spans="1:25" x14ac:dyDescent="0.25">
      <c r="A12" s="4" t="s">
        <v>51</v>
      </c>
      <c r="B12" s="4" t="s">
        <v>52</v>
      </c>
      <c r="C12" s="3">
        <v>26102.45</v>
      </c>
      <c r="D12" s="3">
        <v>8013.78</v>
      </c>
      <c r="E12" s="3">
        <f t="shared" si="0"/>
        <v>34116.230000000003</v>
      </c>
      <c r="F12" s="1"/>
      <c r="I12" s="27">
        <f t="shared" si="4"/>
        <v>0.23489641147336618</v>
      </c>
      <c r="J12" s="13">
        <f>3204</f>
        <v>3204</v>
      </c>
      <c r="K12" s="13">
        <f t="shared" si="1"/>
        <v>752.60810236066527</v>
      </c>
      <c r="L12" s="13">
        <f t="shared" si="5"/>
        <v>3956.6081023606653</v>
      </c>
      <c r="O12" s="79" t="s">
        <v>53</v>
      </c>
      <c r="P12" s="79"/>
      <c r="Q12" s="79"/>
      <c r="R12" s="80"/>
      <c r="S12" s="81"/>
      <c r="U12" s="50" t="s">
        <v>116</v>
      </c>
      <c r="V12" s="50" t="s">
        <v>117</v>
      </c>
      <c r="W12" s="50" t="s">
        <v>100</v>
      </c>
      <c r="Y12" s="4">
        <f t="shared" si="3"/>
        <v>97.103119403260308</v>
      </c>
    </row>
    <row r="13" spans="1:25" x14ac:dyDescent="0.25">
      <c r="A13" s="4" t="s">
        <v>51</v>
      </c>
      <c r="B13" s="4" t="s">
        <v>54</v>
      </c>
      <c r="C13" s="3">
        <v>26854.46</v>
      </c>
      <c r="D13" s="3">
        <v>8279.25</v>
      </c>
      <c r="E13" s="3">
        <f t="shared" si="0"/>
        <v>35133.71</v>
      </c>
      <c r="F13" s="7"/>
      <c r="I13" s="27">
        <f t="shared" si="4"/>
        <v>0.23564975062411569</v>
      </c>
      <c r="J13" s="13">
        <f>3204</f>
        <v>3204</v>
      </c>
      <c r="K13" s="13">
        <f t="shared" si="1"/>
        <v>755.02180099966665</v>
      </c>
      <c r="L13" s="13">
        <f t="shared" si="5"/>
        <v>3959.0218009996665</v>
      </c>
      <c r="O13" s="28" t="s">
        <v>55</v>
      </c>
      <c r="P13" s="28" t="s">
        <v>56</v>
      </c>
      <c r="Q13" s="28" t="s">
        <v>57</v>
      </c>
      <c r="R13" s="28" t="s">
        <v>58</v>
      </c>
      <c r="S13" s="28" t="s">
        <v>59</v>
      </c>
      <c r="U13" s="50" t="s">
        <v>118</v>
      </c>
      <c r="V13" s="50" t="s">
        <v>119</v>
      </c>
      <c r="W13" s="50" t="s">
        <v>103</v>
      </c>
      <c r="Y13" s="4">
        <f t="shared" si="3"/>
        <v>97.106497371633878</v>
      </c>
    </row>
    <row r="14" spans="1:25" x14ac:dyDescent="0.25">
      <c r="A14" s="4" t="s">
        <v>51</v>
      </c>
      <c r="B14" s="4" t="s">
        <v>60</v>
      </c>
      <c r="C14" s="3">
        <v>27655.61</v>
      </c>
      <c r="D14" s="3">
        <v>8562.0499999999993</v>
      </c>
      <c r="E14" s="3">
        <f t="shared" si="0"/>
        <v>36217.660000000003</v>
      </c>
      <c r="F14" s="7"/>
      <c r="I14" s="27">
        <f t="shared" si="4"/>
        <v>0.23640538897322463</v>
      </c>
      <c r="J14" s="13">
        <f>3204</f>
        <v>3204</v>
      </c>
      <c r="K14" s="13">
        <f t="shared" si="1"/>
        <v>757.44286627021177</v>
      </c>
      <c r="L14" s="13">
        <f t="shared" si="5"/>
        <v>3961.4428662702117</v>
      </c>
      <c r="N14" s="12" t="s">
        <v>22</v>
      </c>
      <c r="O14" s="3">
        <v>6193</v>
      </c>
      <c r="P14" s="3">
        <v>13531</v>
      </c>
      <c r="Q14" s="3">
        <v>61</v>
      </c>
      <c r="R14" s="3">
        <v>1534</v>
      </c>
      <c r="S14" s="3">
        <v>61905</v>
      </c>
      <c r="U14" s="50" t="s">
        <v>120</v>
      </c>
      <c r="V14" s="50" t="s">
        <v>121</v>
      </c>
      <c r="W14" s="50" t="s">
        <v>103</v>
      </c>
      <c r="Y14" s="4">
        <f t="shared" si="3"/>
        <v>95.188607984170687</v>
      </c>
    </row>
    <row r="15" spans="1:25" x14ac:dyDescent="0.25">
      <c r="A15" s="4" t="s">
        <v>51</v>
      </c>
      <c r="B15" s="4" t="s">
        <v>61</v>
      </c>
      <c r="C15" s="3">
        <v>28479.67</v>
      </c>
      <c r="D15" s="3">
        <v>8852.94</v>
      </c>
      <c r="E15" s="3">
        <f t="shared" si="0"/>
        <v>37332.61</v>
      </c>
      <c r="F15" s="7"/>
      <c r="I15" s="27">
        <f t="shared" si="4"/>
        <v>0.23713691595631808</v>
      </c>
      <c r="J15" s="13">
        <f>3204</f>
        <v>3204</v>
      </c>
      <c r="K15" s="13">
        <f t="shared" si="1"/>
        <v>759.7866787240431</v>
      </c>
      <c r="L15" s="13">
        <f t="shared" si="5"/>
        <v>3963.7866787240432</v>
      </c>
      <c r="U15" s="50" t="s">
        <v>122</v>
      </c>
      <c r="V15" s="50" t="s">
        <v>123</v>
      </c>
      <c r="W15" s="50" t="s">
        <v>100</v>
      </c>
      <c r="Y15" s="4">
        <f t="shared" si="3"/>
        <v>99.059308711757524</v>
      </c>
    </row>
    <row r="16" spans="1:25" x14ac:dyDescent="0.25">
      <c r="A16" s="54" t="s">
        <v>51</v>
      </c>
      <c r="B16" s="54" t="s">
        <v>62</v>
      </c>
      <c r="C16" s="53">
        <v>29919.200000000001</v>
      </c>
      <c r="D16" s="53">
        <v>9274.18</v>
      </c>
      <c r="E16" s="53">
        <f t="shared" si="0"/>
        <v>39193.380000000005</v>
      </c>
      <c r="F16" s="7"/>
      <c r="I16" s="27">
        <f t="shared" si="4"/>
        <v>0.23662618534048349</v>
      </c>
      <c r="J16" s="13">
        <f>3204</f>
        <v>3204</v>
      </c>
      <c r="K16" s="13">
        <f t="shared" si="1"/>
        <v>758.15029783090915</v>
      </c>
      <c r="L16" s="13">
        <f t="shared" si="5"/>
        <v>3962.150297830909</v>
      </c>
      <c r="N16" s="2" t="s">
        <v>63</v>
      </c>
      <c r="O16" s="7">
        <f>P14+R14+S14</f>
        <v>76970</v>
      </c>
      <c r="U16" s="50" t="s">
        <v>124</v>
      </c>
      <c r="V16" s="50" t="s">
        <v>125</v>
      </c>
      <c r="W16" s="50" t="s">
        <v>100</v>
      </c>
      <c r="Y16" s="4">
        <f t="shared" si="3"/>
        <v>97.352339664300274</v>
      </c>
    </row>
    <row r="17" spans="1:25" x14ac:dyDescent="0.25">
      <c r="A17" s="4" t="s">
        <v>51</v>
      </c>
      <c r="B17" s="4" t="s">
        <v>64</v>
      </c>
      <c r="C17" s="3">
        <v>30203.32</v>
      </c>
      <c r="D17" s="3">
        <v>9461.39</v>
      </c>
      <c r="E17" s="3">
        <f t="shared" si="0"/>
        <v>39664.71</v>
      </c>
      <c r="F17" s="7"/>
      <c r="I17" s="27">
        <f t="shared" si="4"/>
        <v>0.23853420332582792</v>
      </c>
      <c r="J17" s="13">
        <f>3204</f>
        <v>3204</v>
      </c>
      <c r="K17" s="13">
        <f t="shared" si="1"/>
        <v>764.26358745595269</v>
      </c>
      <c r="L17" s="13">
        <f t="shared" si="5"/>
        <v>3968.2635874559528</v>
      </c>
      <c r="N17" s="2" t="s">
        <v>65</v>
      </c>
      <c r="O17" s="7">
        <f>O14+Q14+S14</f>
        <v>68159</v>
      </c>
      <c r="U17" s="48" t="s">
        <v>126</v>
      </c>
      <c r="V17" s="48" t="s">
        <v>127</v>
      </c>
      <c r="W17" s="48" t="s">
        <v>103</v>
      </c>
      <c r="Y17" s="4">
        <f t="shared" si="3"/>
        <v>96.856848950487887</v>
      </c>
    </row>
    <row r="18" spans="1:25" x14ac:dyDescent="0.25">
      <c r="A18" s="4" t="s">
        <v>51</v>
      </c>
      <c r="B18" s="4" t="s">
        <v>66</v>
      </c>
      <c r="C18" s="13">
        <v>31024.75</v>
      </c>
      <c r="D18" s="13">
        <v>9751.35</v>
      </c>
      <c r="E18" s="3">
        <f t="shared" si="0"/>
        <v>40776.1</v>
      </c>
      <c r="F18" s="7"/>
      <c r="I18" s="27">
        <f t="shared" si="4"/>
        <v>0.23914376313575847</v>
      </c>
      <c r="J18" s="13">
        <f>3204</f>
        <v>3204</v>
      </c>
      <c r="K18" s="13">
        <f t="shared" si="1"/>
        <v>766.21661708697013</v>
      </c>
      <c r="L18" s="13">
        <f t="shared" si="5"/>
        <v>3970.21661708697</v>
      </c>
      <c r="U18" s="50" t="s">
        <v>128</v>
      </c>
      <c r="V18" s="50" t="s">
        <v>129</v>
      </c>
      <c r="W18" s="50" t="s">
        <v>100</v>
      </c>
      <c r="Y18" s="4">
        <f t="shared" si="3"/>
        <v>97.103320451522222</v>
      </c>
    </row>
    <row r="19" spans="1:25" x14ac:dyDescent="0.25">
      <c r="A19" s="29" t="s">
        <v>67</v>
      </c>
      <c r="B19" s="4" t="s">
        <v>68</v>
      </c>
      <c r="C19" s="13">
        <v>32031.55</v>
      </c>
      <c r="D19" s="13">
        <v>10138.780000000001</v>
      </c>
      <c r="E19" s="3">
        <f t="shared" si="0"/>
        <v>42170.33</v>
      </c>
      <c r="F19" s="7"/>
      <c r="I19" s="27">
        <f t="shared" si="4"/>
        <v>0.24042448802274016</v>
      </c>
      <c r="J19" s="13">
        <f>3204</f>
        <v>3204</v>
      </c>
      <c r="K19" s="13">
        <f t="shared" si="1"/>
        <v>770.32005962485948</v>
      </c>
      <c r="L19" s="13">
        <f t="shared" si="5"/>
        <v>3974.3200596248594</v>
      </c>
      <c r="U19" s="50" t="s">
        <v>130</v>
      </c>
      <c r="V19" s="50" t="s">
        <v>131</v>
      </c>
      <c r="W19" s="50" t="s">
        <v>103</v>
      </c>
      <c r="Y19" s="4">
        <f t="shared" si="3"/>
        <v>97.101617787270655</v>
      </c>
    </row>
    <row r="20" spans="1:25" x14ac:dyDescent="0.25">
      <c r="A20" s="29" t="s">
        <v>67</v>
      </c>
      <c r="B20" s="4" t="s">
        <v>69</v>
      </c>
      <c r="C20" s="13">
        <v>32987.08</v>
      </c>
      <c r="D20" s="13">
        <v>10477.040000000001</v>
      </c>
      <c r="E20" s="3">
        <f t="shared" si="0"/>
        <v>43464.12</v>
      </c>
      <c r="I20" s="27">
        <f t="shared" si="4"/>
        <v>0.24105031920581851</v>
      </c>
      <c r="J20" s="13">
        <f>3204</f>
        <v>3204</v>
      </c>
      <c r="K20" s="13">
        <f t="shared" si="1"/>
        <v>772.32522273544248</v>
      </c>
      <c r="L20" s="13">
        <f t="shared" si="5"/>
        <v>3976.3252227354424</v>
      </c>
      <c r="N20" s="2" t="s">
        <v>70</v>
      </c>
      <c r="P20" s="2">
        <v>3204</v>
      </c>
      <c r="U20" s="50" t="s">
        <v>132</v>
      </c>
      <c r="V20" s="50" t="s">
        <v>133</v>
      </c>
      <c r="W20" s="50" t="s">
        <v>100</v>
      </c>
      <c r="Y20" s="4">
        <f t="shared" si="3"/>
        <v>97.098204588223723</v>
      </c>
    </row>
    <row r="21" spans="1:25" x14ac:dyDescent="0.25">
      <c r="A21" s="29" t="s">
        <v>67</v>
      </c>
      <c r="B21" s="4" t="s">
        <v>71</v>
      </c>
      <c r="C21" s="13">
        <v>33971.71</v>
      </c>
      <c r="D21" s="13">
        <v>10825.6</v>
      </c>
      <c r="E21" s="3">
        <f t="shared" si="0"/>
        <v>44797.31</v>
      </c>
      <c r="I21" s="27">
        <f t="shared" si="4"/>
        <v>0.24165736737317489</v>
      </c>
      <c r="J21" s="13">
        <f>3204</f>
        <v>3204</v>
      </c>
      <c r="K21" s="13">
        <f t="shared" si="1"/>
        <v>774.27020506365238</v>
      </c>
      <c r="L21" s="13">
        <f t="shared" si="5"/>
        <v>3978.2702050636526</v>
      </c>
      <c r="U21" s="50" t="s">
        <v>134</v>
      </c>
      <c r="V21" s="50" t="s">
        <v>135</v>
      </c>
      <c r="W21" s="50" t="s">
        <v>100</v>
      </c>
      <c r="Y21" s="4">
        <f t="shared" si="3"/>
        <v>97.105698981703199</v>
      </c>
    </row>
    <row r="22" spans="1:25" x14ac:dyDescent="0.25">
      <c r="A22" s="29" t="s">
        <v>67</v>
      </c>
      <c r="B22" s="29" t="s">
        <v>72</v>
      </c>
      <c r="C22" s="3">
        <v>34986.959999999999</v>
      </c>
      <c r="D22" s="3">
        <v>11185.01</v>
      </c>
      <c r="E22" s="3">
        <f t="shared" si="0"/>
        <v>46171.97</v>
      </c>
      <c r="I22" s="27">
        <f t="shared" si="4"/>
        <v>0.24224675706927817</v>
      </c>
      <c r="J22" s="13">
        <f>3204</f>
        <v>3204</v>
      </c>
      <c r="K22" s="13">
        <f t="shared" si="1"/>
        <v>776.15860964996727</v>
      </c>
      <c r="L22" s="13">
        <f t="shared" si="5"/>
        <v>3980.1586096499673</v>
      </c>
      <c r="U22" s="50" t="s">
        <v>136</v>
      </c>
      <c r="V22" s="50" t="s">
        <v>137</v>
      </c>
      <c r="W22" s="50" t="s">
        <v>103</v>
      </c>
      <c r="Y22" s="4">
        <f t="shared" si="3"/>
        <v>97.096518004471903</v>
      </c>
    </row>
    <row r="23" spans="1:25" x14ac:dyDescent="0.25">
      <c r="A23" s="29" t="s">
        <v>67</v>
      </c>
      <c r="B23" s="29" t="s">
        <v>73</v>
      </c>
      <c r="C23" s="3">
        <v>36029.769999999997</v>
      </c>
      <c r="D23" s="3">
        <v>11554.16</v>
      </c>
      <c r="E23" s="3">
        <f t="shared" si="0"/>
        <v>47583.929999999993</v>
      </c>
      <c r="I23" s="27">
        <f t="shared" si="4"/>
        <v>0.24281642983250862</v>
      </c>
      <c r="J23" s="13">
        <f>3204</f>
        <v>3204</v>
      </c>
      <c r="K23" s="13">
        <f t="shared" si="1"/>
        <v>777.98384118335764</v>
      </c>
      <c r="L23" s="13">
        <f t="shared" si="5"/>
        <v>3981.9838411833575</v>
      </c>
      <c r="U23" s="50" t="s">
        <v>138</v>
      </c>
      <c r="V23" s="50" t="s">
        <v>139</v>
      </c>
      <c r="W23" s="50" t="s">
        <v>100</v>
      </c>
      <c r="Y23" s="29"/>
    </row>
    <row r="24" spans="1:25" x14ac:dyDescent="0.25">
      <c r="A24" s="29" t="s">
        <v>67</v>
      </c>
      <c r="B24" s="29" t="s">
        <v>74</v>
      </c>
      <c r="C24" s="3">
        <v>37107.17</v>
      </c>
      <c r="D24" s="3">
        <v>11935.55</v>
      </c>
      <c r="E24" s="3">
        <f t="shared" si="0"/>
        <v>49042.720000000001</v>
      </c>
      <c r="I24" s="27">
        <f t="shared" si="4"/>
        <v>0.24337047374207627</v>
      </c>
      <c r="J24" s="13">
        <f>3204</f>
        <v>3204</v>
      </c>
      <c r="K24" s="13">
        <f t="shared" si="1"/>
        <v>779.75899786961236</v>
      </c>
      <c r="L24" s="13">
        <f t="shared" si="5"/>
        <v>3983.7589978696124</v>
      </c>
      <c r="U24" s="50" t="s">
        <v>140</v>
      </c>
      <c r="V24" s="49" t="s">
        <v>141</v>
      </c>
      <c r="W24" s="50" t="s">
        <v>103</v>
      </c>
      <c r="Y24" s="29"/>
    </row>
    <row r="25" spans="1:25" x14ac:dyDescent="0.25">
      <c r="A25" s="29" t="s">
        <v>67</v>
      </c>
      <c r="B25" s="29" t="s">
        <v>75</v>
      </c>
      <c r="C25" s="3">
        <v>38213.980000000003</v>
      </c>
      <c r="D25" s="3">
        <v>12327.37</v>
      </c>
      <c r="E25" s="3">
        <f t="shared" si="0"/>
        <v>50541.350000000006</v>
      </c>
      <c r="I25" s="27">
        <f t="shared" si="4"/>
        <v>0.24390662299285634</v>
      </c>
      <c r="J25" s="13">
        <f>3204</f>
        <v>3204</v>
      </c>
      <c r="K25" s="13">
        <f t="shared" si="1"/>
        <v>781.47682006911168</v>
      </c>
      <c r="L25" s="13">
        <f t="shared" si="5"/>
        <v>3985.4768200691115</v>
      </c>
      <c r="U25" s="50" t="s">
        <v>142</v>
      </c>
      <c r="V25" s="50" t="s">
        <v>143</v>
      </c>
      <c r="W25" s="50" t="s">
        <v>103</v>
      </c>
      <c r="Y25" s="29"/>
    </row>
    <row r="26" spans="1:25" x14ac:dyDescent="0.25">
      <c r="A26" s="52" t="s">
        <v>67</v>
      </c>
      <c r="B26" s="52" t="s">
        <v>76</v>
      </c>
      <c r="C26" s="53">
        <v>40148.71</v>
      </c>
      <c r="D26" s="53">
        <v>13186.3</v>
      </c>
      <c r="E26" s="53">
        <f t="shared" si="0"/>
        <v>53335.009999999995</v>
      </c>
      <c r="I26" s="27">
        <f t="shared" si="4"/>
        <v>0.24723535253860457</v>
      </c>
      <c r="J26" s="13">
        <f>3204</f>
        <v>3204</v>
      </c>
      <c r="K26" s="13">
        <f t="shared" si="1"/>
        <v>792.1420695336891</v>
      </c>
      <c r="L26" s="13">
        <f t="shared" si="5"/>
        <v>3996.1420695336892</v>
      </c>
      <c r="U26" s="48" t="s">
        <v>144</v>
      </c>
      <c r="V26" s="48" t="s">
        <v>145</v>
      </c>
      <c r="W26" s="48" t="s">
        <v>100</v>
      </c>
      <c r="Y26" s="29"/>
    </row>
    <row r="27" spans="1:25" x14ac:dyDescent="0.25">
      <c r="A27" s="29" t="s">
        <v>67</v>
      </c>
      <c r="B27" s="29" t="s">
        <v>77</v>
      </c>
      <c r="C27" s="3">
        <v>40530.81</v>
      </c>
      <c r="D27" s="3">
        <v>13147.52</v>
      </c>
      <c r="E27" s="3">
        <f t="shared" si="0"/>
        <v>53678.33</v>
      </c>
      <c r="I27" s="27">
        <f t="shared" si="4"/>
        <v>0.24493161393061222</v>
      </c>
      <c r="J27" s="13">
        <f>3204</f>
        <v>3204</v>
      </c>
      <c r="K27" s="13">
        <f t="shared" si="1"/>
        <v>784.76089103368156</v>
      </c>
      <c r="L27" s="13">
        <f t="shared" si="5"/>
        <v>3988.7608910336817</v>
      </c>
      <c r="U27" s="48" t="s">
        <v>146</v>
      </c>
      <c r="V27" s="48" t="s">
        <v>147</v>
      </c>
      <c r="W27" s="48" t="s">
        <v>100</v>
      </c>
      <c r="Y27" s="29"/>
    </row>
    <row r="28" spans="1:25" x14ac:dyDescent="0.25">
      <c r="A28" s="29" t="s">
        <v>67</v>
      </c>
      <c r="B28" s="29" t="s">
        <v>78</v>
      </c>
      <c r="C28" s="3">
        <v>41635.49</v>
      </c>
      <c r="D28" s="3">
        <v>13538.58</v>
      </c>
      <c r="E28" s="3">
        <f t="shared" si="0"/>
        <v>55174.07</v>
      </c>
      <c r="I28" s="27">
        <f t="shared" si="4"/>
        <v>0.24537939651724081</v>
      </c>
      <c r="J28" s="13">
        <f>3204</f>
        <v>3204</v>
      </c>
      <c r="K28" s="13">
        <f t="shared" si="1"/>
        <v>786.19558644123958</v>
      </c>
      <c r="L28" s="13">
        <f t="shared" si="5"/>
        <v>3990.1955864412394</v>
      </c>
      <c r="U28" s="50" t="s">
        <v>148</v>
      </c>
      <c r="V28" s="50" t="s">
        <v>149</v>
      </c>
      <c r="W28" s="50" t="s">
        <v>100</v>
      </c>
      <c r="Y28" s="29"/>
    </row>
    <row r="29" spans="1:25" x14ac:dyDescent="0.25">
      <c r="A29" s="29" t="s">
        <v>79</v>
      </c>
      <c r="B29" s="29" t="s">
        <v>80</v>
      </c>
      <c r="C29" s="3">
        <v>42990.720000000001</v>
      </c>
      <c r="D29" s="3">
        <v>14018.33</v>
      </c>
      <c r="E29" s="3">
        <f t="shared" si="0"/>
        <v>57009.05</v>
      </c>
      <c r="I29" s="27">
        <f t="shared" si="4"/>
        <v>0.24589657256172484</v>
      </c>
      <c r="J29" s="13">
        <f>3204</f>
        <v>3204</v>
      </c>
      <c r="K29" s="13">
        <f t="shared" si="1"/>
        <v>787.85261848776634</v>
      </c>
      <c r="L29" s="13">
        <f t="shared" si="5"/>
        <v>3991.8526184877664</v>
      </c>
      <c r="Y29" s="29"/>
    </row>
    <row r="30" spans="1:25" x14ac:dyDescent="0.25">
      <c r="A30" s="29" t="s">
        <v>79</v>
      </c>
      <c r="B30" s="29" t="s">
        <v>81</v>
      </c>
      <c r="C30" s="3">
        <v>44297.760000000002</v>
      </c>
      <c r="D30" s="3">
        <v>14481.03</v>
      </c>
      <c r="E30" s="3">
        <f t="shared" si="0"/>
        <v>58778.79</v>
      </c>
      <c r="I30" s="27">
        <f t="shared" si="4"/>
        <v>0.24636488774267046</v>
      </c>
      <c r="J30" s="13">
        <f>3204</f>
        <v>3204</v>
      </c>
      <c r="K30" s="13">
        <f t="shared" si="1"/>
        <v>789.35310032751613</v>
      </c>
      <c r="L30" s="13">
        <f t="shared" si="5"/>
        <v>3993.3531003275161</v>
      </c>
      <c r="Y30" s="29"/>
    </row>
    <row r="31" spans="1:25" x14ac:dyDescent="0.25">
      <c r="A31" s="29" t="s">
        <v>79</v>
      </c>
      <c r="B31" s="29" t="s">
        <v>82</v>
      </c>
      <c r="C31" s="3">
        <v>45597.06</v>
      </c>
      <c r="D31" s="3">
        <v>14940.98</v>
      </c>
      <c r="E31" s="3">
        <f t="shared" si="0"/>
        <v>60538.039999999994</v>
      </c>
      <c r="I31" s="27">
        <f t="shared" si="4"/>
        <v>0.24680316706652547</v>
      </c>
      <c r="J31" s="13">
        <f>3204</f>
        <v>3204</v>
      </c>
      <c r="K31" s="13">
        <f t="shared" si="1"/>
        <v>790.75734728114764</v>
      </c>
      <c r="L31" s="13">
        <f t="shared" si="5"/>
        <v>3994.7573472811478</v>
      </c>
      <c r="Y31" s="29"/>
    </row>
    <row r="32" spans="1:25" x14ac:dyDescent="0.25">
      <c r="A32" s="29" t="s">
        <v>79</v>
      </c>
      <c r="B32" s="29" t="s">
        <v>83</v>
      </c>
      <c r="C32" s="3">
        <v>46958.61</v>
      </c>
      <c r="D32" s="3">
        <v>15422.97</v>
      </c>
      <c r="E32" s="3">
        <f t="shared" si="0"/>
        <v>62381.58</v>
      </c>
      <c r="I32" s="27">
        <f t="shared" si="4"/>
        <v>0.24723596292367073</v>
      </c>
      <c r="J32" s="13">
        <f>3204</f>
        <v>3204</v>
      </c>
      <c r="K32" s="13">
        <f t="shared" si="1"/>
        <v>792.14402520744102</v>
      </c>
      <c r="L32" s="13">
        <f t="shared" si="5"/>
        <v>3996.1440252074408</v>
      </c>
      <c r="U32" s="46" t="s">
        <v>150</v>
      </c>
      <c r="Y32" s="29"/>
    </row>
    <row r="33" spans="1:25" x14ac:dyDescent="0.25">
      <c r="A33" s="52" t="s">
        <v>79</v>
      </c>
      <c r="B33" s="52" t="s">
        <v>84</v>
      </c>
      <c r="C33" s="53">
        <v>49338.13</v>
      </c>
      <c r="D33" s="53">
        <v>16499.09</v>
      </c>
      <c r="E33" s="53">
        <f t="shared" si="0"/>
        <v>65837.22</v>
      </c>
      <c r="I33" s="27">
        <f t="shared" si="4"/>
        <v>0.25060429343766338</v>
      </c>
      <c r="J33" s="13">
        <f>3204</f>
        <v>3204</v>
      </c>
      <c r="K33" s="13">
        <f t="shared" si="1"/>
        <v>802.93615617427349</v>
      </c>
      <c r="L33" s="13">
        <f t="shared" si="5"/>
        <v>4006.9361561742735</v>
      </c>
      <c r="U33" s="46" t="s">
        <v>151</v>
      </c>
      <c r="Y33" s="29"/>
    </row>
    <row r="34" spans="1:25" x14ac:dyDescent="0.25">
      <c r="A34" s="29" t="s">
        <v>79</v>
      </c>
      <c r="B34" s="29" t="s">
        <v>85</v>
      </c>
      <c r="C34" s="3">
        <v>49808.54</v>
      </c>
      <c r="D34" s="3">
        <v>16431.84</v>
      </c>
      <c r="E34" s="3">
        <f t="shared" si="0"/>
        <v>66240.38</v>
      </c>
      <c r="I34" s="27">
        <f t="shared" si="4"/>
        <v>0.24806379432002049</v>
      </c>
      <c r="J34" s="13">
        <f>3204</f>
        <v>3204</v>
      </c>
      <c r="K34" s="13">
        <f t="shared" si="1"/>
        <v>794.79639700134567</v>
      </c>
      <c r="L34" s="13">
        <f t="shared" si="5"/>
        <v>3998.7963970013457</v>
      </c>
      <c r="U34" s="46" t="s">
        <v>152</v>
      </c>
      <c r="Y34" s="29"/>
    </row>
    <row r="35" spans="1:25" x14ac:dyDescent="0.25">
      <c r="A35" s="29" t="s">
        <v>79</v>
      </c>
      <c r="B35" s="29" t="s">
        <v>86</v>
      </c>
      <c r="C35" s="3">
        <v>51167.19</v>
      </c>
      <c r="D35" s="3">
        <v>16912.810000000001</v>
      </c>
      <c r="E35" s="3">
        <f t="shared" si="0"/>
        <v>68080</v>
      </c>
      <c r="I35" s="27">
        <f t="shared" si="4"/>
        <v>0.24842552878965923</v>
      </c>
      <c r="J35" s="13">
        <f>3204</f>
        <v>3204</v>
      </c>
      <c r="K35" s="13">
        <f t="shared" si="1"/>
        <v>795.95539424206822</v>
      </c>
      <c r="L35" s="13">
        <f t="shared" si="5"/>
        <v>3999.955394242068</v>
      </c>
      <c r="U35" s="46" t="s">
        <v>153</v>
      </c>
      <c r="Y35" s="29"/>
    </row>
    <row r="36" spans="1:25" x14ac:dyDescent="0.25">
      <c r="A36" s="29" t="s">
        <v>87</v>
      </c>
      <c r="B36" s="29" t="s">
        <v>88</v>
      </c>
      <c r="C36" s="3">
        <v>54410.09</v>
      </c>
      <c r="D36" s="3">
        <v>18060.8</v>
      </c>
      <c r="E36" s="3">
        <f t="shared" si="0"/>
        <v>72470.89</v>
      </c>
      <c r="I36" s="27">
        <f t="shared" si="4"/>
        <v>0.24921454669592163</v>
      </c>
      <c r="J36" s="13">
        <f>3204</f>
        <v>3204</v>
      </c>
      <c r="K36" s="13">
        <f t="shared" si="1"/>
        <v>798.48340761373288</v>
      </c>
      <c r="L36" s="13">
        <f t="shared" si="5"/>
        <v>4002.4834076137331</v>
      </c>
      <c r="Y36" s="29"/>
    </row>
    <row r="37" spans="1:25" x14ac:dyDescent="0.25">
      <c r="A37" s="29" t="s">
        <v>87</v>
      </c>
      <c r="B37" s="29" t="s">
        <v>89</v>
      </c>
      <c r="C37" s="3">
        <v>56037.54</v>
      </c>
      <c r="D37" s="3">
        <v>18636.91</v>
      </c>
      <c r="E37" s="3">
        <f t="shared" si="0"/>
        <v>74674.45</v>
      </c>
      <c r="I37" s="27">
        <f t="shared" si="4"/>
        <v>0.24957545720122479</v>
      </c>
      <c r="J37" s="13">
        <f>3204</f>
        <v>3204</v>
      </c>
      <c r="K37" s="13">
        <f t="shared" si="1"/>
        <v>799.63976487272419</v>
      </c>
      <c r="L37" s="13">
        <f t="shared" si="5"/>
        <v>4003.6397648727243</v>
      </c>
      <c r="Y37" s="29"/>
    </row>
    <row r="38" spans="1:25" x14ac:dyDescent="0.25">
      <c r="A38" s="52" t="s">
        <v>87</v>
      </c>
      <c r="B38" s="52" t="s">
        <v>90</v>
      </c>
      <c r="C38" s="53">
        <v>58878.19</v>
      </c>
      <c r="D38" s="53">
        <v>19938.29</v>
      </c>
      <c r="E38" s="53">
        <f t="shared" si="0"/>
        <v>78816.48000000001</v>
      </c>
      <c r="I38" s="27">
        <f t="shared" si="4"/>
        <v>0.25297107914486916</v>
      </c>
      <c r="J38" s="13">
        <f>3204</f>
        <v>3204</v>
      </c>
      <c r="K38" s="13">
        <f t="shared" si="1"/>
        <v>810.51933758016082</v>
      </c>
      <c r="L38" s="13">
        <f t="shared" si="5"/>
        <v>4014.5193375801609</v>
      </c>
      <c r="U38" s="47"/>
      <c r="V38" s="2" t="s">
        <v>154</v>
      </c>
      <c r="Y38" s="29"/>
    </row>
    <row r="39" spans="1:25" x14ac:dyDescent="0.25">
      <c r="A39" s="29" t="s">
        <v>87</v>
      </c>
      <c r="B39" s="29" t="s">
        <v>91</v>
      </c>
      <c r="C39" s="3">
        <v>59440.2</v>
      </c>
      <c r="D39" s="3">
        <v>19841.439999999999</v>
      </c>
      <c r="E39" s="3">
        <f t="shared" si="0"/>
        <v>79281.64</v>
      </c>
      <c r="I39" s="27">
        <f t="shared" si="4"/>
        <v>0.25026525687410095</v>
      </c>
      <c r="J39" s="13">
        <f>3204</f>
        <v>3204</v>
      </c>
      <c r="K39" s="13">
        <f t="shared" si="1"/>
        <v>801.84988302461943</v>
      </c>
      <c r="L39" s="13">
        <f t="shared" si="5"/>
        <v>4005.8498830246194</v>
      </c>
      <c r="Y39" s="29"/>
    </row>
    <row r="40" spans="1:25" x14ac:dyDescent="0.25">
      <c r="A40" s="29" t="s">
        <v>87</v>
      </c>
      <c r="B40" s="29" t="s">
        <v>92</v>
      </c>
      <c r="C40" s="3">
        <v>61061.32</v>
      </c>
      <c r="D40" s="3">
        <v>20415.330000000002</v>
      </c>
      <c r="E40" s="3">
        <f t="shared" si="0"/>
        <v>81476.649999999994</v>
      </c>
      <c r="I40" s="27">
        <f t="shared" si="4"/>
        <v>0.25056663473522789</v>
      </c>
      <c r="J40" s="13">
        <f>3204</f>
        <v>3204</v>
      </c>
      <c r="K40" s="13">
        <f t="shared" si="1"/>
        <v>802.8154976916702</v>
      </c>
      <c r="L40" s="13">
        <f t="shared" si="5"/>
        <v>4006.8154976916703</v>
      </c>
      <c r="Y40" s="29"/>
    </row>
    <row r="41" spans="1:25" x14ac:dyDescent="0.25">
      <c r="A41" s="52" t="s">
        <v>93</v>
      </c>
      <c r="B41" s="55">
        <v>80000</v>
      </c>
      <c r="C41" s="56">
        <f>B41</f>
        <v>80000</v>
      </c>
      <c r="D41" s="53">
        <f>C41*I41</f>
        <v>20800</v>
      </c>
      <c r="E41" s="53">
        <f t="shared" si="0"/>
        <v>100800</v>
      </c>
      <c r="I41" s="27">
        <v>0.26</v>
      </c>
      <c r="J41" s="13">
        <f>3204</f>
        <v>3204</v>
      </c>
      <c r="K41" s="13">
        <f t="shared" si="1"/>
        <v>833.04000000000008</v>
      </c>
      <c r="L41" s="13">
        <f t="shared" ref="L41:L48" si="7">SUM(J41:K41)</f>
        <v>4037.04</v>
      </c>
      <c r="Y41" s="29"/>
    </row>
    <row r="42" spans="1:25" x14ac:dyDescent="0.25">
      <c r="A42" s="52" t="s">
        <v>93</v>
      </c>
      <c r="B42" s="55">
        <v>90000</v>
      </c>
      <c r="C42" s="56">
        <f t="shared" ref="C42:C48" si="8">B42</f>
        <v>90000</v>
      </c>
      <c r="D42" s="53">
        <f t="shared" ref="D42:D48" si="9">C42*I42</f>
        <v>23850</v>
      </c>
      <c r="E42" s="53">
        <f t="shared" si="0"/>
        <v>113850</v>
      </c>
      <c r="I42" s="27">
        <v>0.26500000000000001</v>
      </c>
      <c r="J42" s="13">
        <f>3204</f>
        <v>3204</v>
      </c>
      <c r="K42" s="13">
        <f t="shared" si="1"/>
        <v>849.06000000000006</v>
      </c>
      <c r="L42" s="13">
        <f t="shared" si="7"/>
        <v>4053.06</v>
      </c>
      <c r="Y42" s="29"/>
    </row>
    <row r="43" spans="1:25" x14ac:dyDescent="0.25">
      <c r="A43" s="52" t="s">
        <v>93</v>
      </c>
      <c r="B43" s="55">
        <v>100000</v>
      </c>
      <c r="C43" s="56">
        <f t="shared" si="8"/>
        <v>100000</v>
      </c>
      <c r="D43" s="53">
        <f t="shared" si="9"/>
        <v>27000</v>
      </c>
      <c r="E43" s="53">
        <f t="shared" si="0"/>
        <v>127000</v>
      </c>
      <c r="I43" s="27">
        <v>0.27</v>
      </c>
      <c r="J43" s="13">
        <f>3204</f>
        <v>3204</v>
      </c>
      <c r="K43" s="13">
        <f t="shared" si="1"/>
        <v>865.08</v>
      </c>
      <c r="L43" s="13">
        <f t="shared" si="7"/>
        <v>4069.08</v>
      </c>
      <c r="Y43" s="29"/>
    </row>
    <row r="44" spans="1:25" x14ac:dyDescent="0.25">
      <c r="A44" s="52" t="s">
        <v>93</v>
      </c>
      <c r="B44" s="55">
        <v>110000</v>
      </c>
      <c r="C44" s="56">
        <f t="shared" si="8"/>
        <v>110000</v>
      </c>
      <c r="D44" s="53">
        <f t="shared" si="9"/>
        <v>30250.000000000004</v>
      </c>
      <c r="E44" s="53">
        <f t="shared" si="0"/>
        <v>140250</v>
      </c>
      <c r="I44" s="27">
        <v>0.27500000000000002</v>
      </c>
      <c r="J44" s="13">
        <f>3204</f>
        <v>3204</v>
      </c>
      <c r="K44" s="13">
        <f t="shared" si="1"/>
        <v>881.1</v>
      </c>
      <c r="L44" s="13">
        <f t="shared" si="7"/>
        <v>4085.1</v>
      </c>
      <c r="Y44" s="29"/>
    </row>
    <row r="45" spans="1:25" x14ac:dyDescent="0.25">
      <c r="A45" s="52" t="s">
        <v>93</v>
      </c>
      <c r="B45" s="55">
        <v>120000</v>
      </c>
      <c r="C45" s="56">
        <f t="shared" si="8"/>
        <v>120000</v>
      </c>
      <c r="D45" s="53">
        <f t="shared" si="9"/>
        <v>33600</v>
      </c>
      <c r="E45" s="53">
        <f t="shared" si="0"/>
        <v>153600</v>
      </c>
      <c r="I45" s="27">
        <v>0.28000000000000003</v>
      </c>
      <c r="J45" s="13">
        <f>3204</f>
        <v>3204</v>
      </c>
      <c r="K45" s="13">
        <f t="shared" si="1"/>
        <v>897.12000000000012</v>
      </c>
      <c r="L45" s="13">
        <f t="shared" si="7"/>
        <v>4101.12</v>
      </c>
      <c r="Y45" s="29"/>
    </row>
    <row r="46" spans="1:25" x14ac:dyDescent="0.25">
      <c r="A46" s="52" t="s">
        <v>93</v>
      </c>
      <c r="B46" s="55">
        <v>130000</v>
      </c>
      <c r="C46" s="56">
        <f t="shared" si="8"/>
        <v>130000</v>
      </c>
      <c r="D46" s="53">
        <f t="shared" si="9"/>
        <v>37050</v>
      </c>
      <c r="E46" s="53">
        <f t="shared" si="0"/>
        <v>167050</v>
      </c>
      <c r="I46" s="27">
        <v>0.28499999999999998</v>
      </c>
      <c r="J46" s="13">
        <f>3204</f>
        <v>3204</v>
      </c>
      <c r="K46" s="13">
        <f t="shared" si="1"/>
        <v>913.13999999999987</v>
      </c>
      <c r="L46" s="13">
        <f t="shared" si="7"/>
        <v>4117.1399999999994</v>
      </c>
      <c r="Y46" s="29"/>
    </row>
    <row r="47" spans="1:25" x14ac:dyDescent="0.25">
      <c r="A47" s="52" t="s">
        <v>93</v>
      </c>
      <c r="B47" s="55">
        <v>140000</v>
      </c>
      <c r="C47" s="56">
        <f t="shared" si="8"/>
        <v>140000</v>
      </c>
      <c r="D47" s="53">
        <f t="shared" si="9"/>
        <v>40600</v>
      </c>
      <c r="E47" s="53">
        <f t="shared" si="0"/>
        <v>180600</v>
      </c>
      <c r="I47" s="27">
        <v>0.28999999999999998</v>
      </c>
      <c r="J47" s="13">
        <f>3204</f>
        <v>3204</v>
      </c>
      <c r="K47" s="13">
        <f t="shared" si="1"/>
        <v>929.16</v>
      </c>
      <c r="L47" s="13">
        <f t="shared" si="7"/>
        <v>4133.16</v>
      </c>
      <c r="Y47" s="29"/>
    </row>
    <row r="48" spans="1:25" x14ac:dyDescent="0.25">
      <c r="A48" s="52" t="s">
        <v>93</v>
      </c>
      <c r="B48" s="55">
        <v>150000</v>
      </c>
      <c r="C48" s="56">
        <f t="shared" si="8"/>
        <v>150000</v>
      </c>
      <c r="D48" s="53">
        <f t="shared" si="9"/>
        <v>44250</v>
      </c>
      <c r="E48" s="53">
        <f t="shared" si="0"/>
        <v>194250</v>
      </c>
      <c r="I48" s="27">
        <v>0.29499999999999998</v>
      </c>
      <c r="J48" s="13">
        <f>3204</f>
        <v>3204</v>
      </c>
      <c r="K48" s="13">
        <f t="shared" si="1"/>
        <v>945.18</v>
      </c>
      <c r="L48" s="13">
        <f t="shared" si="7"/>
        <v>4149.18</v>
      </c>
      <c r="Y48" s="29"/>
    </row>
    <row r="50" spans="1:2" x14ac:dyDescent="0.25">
      <c r="A50" s="2" t="s">
        <v>94</v>
      </c>
      <c r="B50" s="2" t="s">
        <v>95</v>
      </c>
    </row>
    <row r="51" spans="1:2" x14ac:dyDescent="0.25">
      <c r="A51" s="2" t="s">
        <v>96</v>
      </c>
    </row>
    <row r="52" spans="1:2" x14ac:dyDescent="0.25">
      <c r="A52" s="2" t="s">
        <v>97</v>
      </c>
    </row>
    <row r="54" spans="1:2" x14ac:dyDescent="0.25">
      <c r="A54" s="57"/>
      <c r="B54" s="2" t="s">
        <v>155</v>
      </c>
    </row>
  </sheetData>
  <mergeCells count="7">
    <mergeCell ref="O12:S12"/>
    <mergeCell ref="B2:E2"/>
    <mergeCell ref="I2:L2"/>
    <mergeCell ref="U2:W2"/>
    <mergeCell ref="B3:E3"/>
    <mergeCell ref="I3:L3"/>
    <mergeCell ref="N3:Q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E1CD-F272-455C-93C0-42B7170B4CFF}">
  <sheetPr codeName="Sheet2"/>
  <dimension ref="B1:AH55"/>
  <sheetViews>
    <sheetView showGridLines="0" showZeros="0" zoomScale="80" zoomScaleNormal="80" workbookViewId="0">
      <selection activeCell="D4" sqref="D4"/>
    </sheetView>
  </sheetViews>
  <sheetFormatPr defaultColWidth="9.140625" defaultRowHeight="15" x14ac:dyDescent="0.25"/>
  <cols>
    <col min="1" max="1" width="3.7109375" style="2" customWidth="1"/>
    <col min="2" max="2" width="19.140625" style="2" customWidth="1"/>
    <col min="3" max="3" width="22.42578125" style="2" customWidth="1"/>
    <col min="4" max="4" width="10.140625" style="2" bestFit="1" customWidth="1"/>
    <col min="5" max="5" width="12" style="2" bestFit="1" customWidth="1"/>
    <col min="6" max="6" width="17.5703125" style="2" bestFit="1" customWidth="1"/>
    <col min="7" max="7" width="21" style="2" customWidth="1"/>
    <col min="8" max="8" width="14.140625" style="2" customWidth="1"/>
    <col min="9" max="9" width="16.7109375" style="2" customWidth="1"/>
    <col min="10" max="10" width="15.140625" style="2" bestFit="1" customWidth="1"/>
    <col min="11" max="11" width="17.5703125" style="2" bestFit="1" customWidth="1"/>
    <col min="12" max="13" width="15.5703125" style="2" bestFit="1" customWidth="1"/>
    <col min="14" max="14" width="15.140625" style="2" bestFit="1" customWidth="1"/>
    <col min="15" max="17" width="9.140625" style="2"/>
    <col min="18" max="20" width="9.140625" style="2" hidden="1" customWidth="1"/>
    <col min="21" max="21" width="17.5703125" style="2" hidden="1" customWidth="1"/>
    <col min="22" max="22" width="9.140625" style="2" hidden="1" customWidth="1"/>
    <col min="23" max="25" width="15.28515625" style="2" hidden="1" customWidth="1"/>
    <col min="26" max="26" width="9.140625" style="2" hidden="1" customWidth="1"/>
    <col min="27" max="27" width="16.28515625" style="2" hidden="1" customWidth="1"/>
    <col min="28" max="28" width="15.140625" style="2" hidden="1" customWidth="1"/>
    <col min="29" max="29" width="17.28515625" style="2" hidden="1" customWidth="1"/>
    <col min="30" max="30" width="15.28515625" style="2" hidden="1" customWidth="1"/>
    <col min="31" max="31" width="13.28515625" style="2" hidden="1" customWidth="1"/>
    <col min="32" max="32" width="16.7109375" style="2" hidden="1" customWidth="1"/>
    <col min="33" max="34" width="9.140625" style="2" hidden="1" customWidth="1"/>
    <col min="35" max="16384" width="9.140625" style="2"/>
  </cols>
  <sheetData>
    <row r="1" spans="2:33" ht="5.0999999999999996" customHeight="1" x14ac:dyDescent="0.25"/>
    <row r="2" spans="2:33" x14ac:dyDescent="0.25">
      <c r="B2" s="88" t="s">
        <v>25</v>
      </c>
      <c r="C2" s="89"/>
      <c r="D2" s="17" t="s">
        <v>156</v>
      </c>
      <c r="F2" s="91" t="str">
        <f ca="1">IF(Lists!C26&lt;Lists!C27,"","This model has expired and cannot be used. Please contact the Research Support Team for further assistance.")</f>
        <v/>
      </c>
      <c r="G2" s="92"/>
      <c r="H2" s="92"/>
      <c r="I2" s="92"/>
      <c r="J2" s="92"/>
      <c r="K2" s="92"/>
      <c r="L2" s="92"/>
      <c r="M2" s="92"/>
      <c r="N2" s="92"/>
    </row>
    <row r="3" spans="2:33" x14ac:dyDescent="0.25">
      <c r="B3" s="5"/>
      <c r="C3" s="5"/>
      <c r="D3" s="6"/>
      <c r="F3" s="92"/>
      <c r="G3" s="92"/>
      <c r="H3" s="92"/>
      <c r="I3" s="92"/>
      <c r="J3" s="92"/>
      <c r="K3" s="92"/>
      <c r="L3" s="92"/>
      <c r="M3" s="92"/>
      <c r="N3" s="92"/>
    </row>
    <row r="4" spans="2:33" x14ac:dyDescent="0.25">
      <c r="B4" s="88" t="s">
        <v>157</v>
      </c>
      <c r="C4" s="84"/>
      <c r="D4" s="17" t="s">
        <v>158</v>
      </c>
      <c r="F4" s="92"/>
      <c r="G4" s="92"/>
      <c r="H4" s="92"/>
      <c r="I4" s="92"/>
      <c r="J4" s="92"/>
      <c r="K4" s="92"/>
      <c r="L4" s="92"/>
      <c r="M4" s="92"/>
      <c r="N4" s="92"/>
    </row>
    <row r="5" spans="2:33" x14ac:dyDescent="0.25">
      <c r="B5" s="5"/>
      <c r="C5" s="21"/>
      <c r="D5" s="6"/>
    </row>
    <row r="6" spans="2:33" hidden="1" x14ac:dyDescent="0.25">
      <c r="B6" s="88" t="s">
        <v>159</v>
      </c>
      <c r="C6" s="89"/>
      <c r="D6" s="62"/>
    </row>
    <row r="7" spans="2:33" hidden="1" x14ac:dyDescent="0.25">
      <c r="B7" s="5"/>
      <c r="C7" s="21"/>
      <c r="D7" s="6"/>
      <c r="L7" s="1"/>
    </row>
    <row r="8" spans="2:33" hidden="1" x14ac:dyDescent="0.25">
      <c r="J8" s="35"/>
      <c r="K8" s="67"/>
      <c r="M8" s="1"/>
    </row>
    <row r="9" spans="2:33" x14ac:dyDescent="0.25">
      <c r="B9" s="74" t="s">
        <v>160</v>
      </c>
      <c r="C9" s="82"/>
      <c r="D9" s="82" t="s">
        <v>161</v>
      </c>
      <c r="E9" s="82"/>
      <c r="F9" s="82"/>
      <c r="G9" s="82"/>
      <c r="H9" s="82"/>
      <c r="I9" s="82"/>
      <c r="J9" s="82"/>
      <c r="K9" s="82"/>
      <c r="L9" s="82"/>
      <c r="M9" s="82"/>
      <c r="N9" s="84"/>
      <c r="W9" s="85" t="s">
        <v>162</v>
      </c>
      <c r="X9" s="75"/>
      <c r="Y9" s="76"/>
      <c r="AA9" s="85" t="s">
        <v>163</v>
      </c>
      <c r="AB9" s="75"/>
      <c r="AC9" s="76"/>
      <c r="AD9" s="85" t="s">
        <v>164</v>
      </c>
      <c r="AE9" s="75"/>
      <c r="AF9" s="76"/>
    </row>
    <row r="10" spans="2:33" x14ac:dyDescent="0.25">
      <c r="B10" s="4" t="s">
        <v>165</v>
      </c>
      <c r="C10" s="88" t="s">
        <v>166</v>
      </c>
      <c r="D10" s="89"/>
      <c r="E10" s="69" t="s">
        <v>42</v>
      </c>
      <c r="F10" s="15" t="s">
        <v>167</v>
      </c>
      <c r="G10" s="15" t="s">
        <v>30</v>
      </c>
      <c r="H10" s="15" t="s">
        <v>31</v>
      </c>
      <c r="I10" s="15" t="s">
        <v>24</v>
      </c>
      <c r="J10" s="15" t="s">
        <v>32</v>
      </c>
      <c r="K10" s="15" t="s">
        <v>25</v>
      </c>
      <c r="L10" s="15" t="s">
        <v>168</v>
      </c>
      <c r="M10" s="15" t="s">
        <v>33</v>
      </c>
      <c r="N10" s="15" t="str">
        <f>IF($D$4="Yes","RC Contribution","N/A")</f>
        <v>N/A</v>
      </c>
      <c r="S10" s="12" t="s">
        <v>169</v>
      </c>
      <c r="T10" s="12" t="s">
        <v>170</v>
      </c>
      <c r="U10" s="12" t="s">
        <v>25</v>
      </c>
      <c r="W10" s="36" t="s">
        <v>162</v>
      </c>
      <c r="X10" s="36" t="s">
        <v>171</v>
      </c>
      <c r="Y10" s="36" t="s">
        <v>172</v>
      </c>
      <c r="Z10" s="36" t="s">
        <v>42</v>
      </c>
      <c r="AA10" s="12" t="s">
        <v>163</v>
      </c>
      <c r="AB10" s="12" t="s">
        <v>173</v>
      </c>
      <c r="AC10" s="12" t="s">
        <v>174</v>
      </c>
      <c r="AD10" s="45" t="s">
        <v>175</v>
      </c>
      <c r="AE10" s="45" t="s">
        <v>176</v>
      </c>
      <c r="AF10" s="45" t="s">
        <v>177</v>
      </c>
    </row>
    <row r="11" spans="2:33" x14ac:dyDescent="0.25">
      <c r="B11" s="16" t="s">
        <v>178</v>
      </c>
      <c r="C11" s="86" t="s">
        <v>111</v>
      </c>
      <c r="D11" s="87"/>
      <c r="E11" s="70">
        <v>12</v>
      </c>
      <c r="F11" s="16">
        <v>1</v>
      </c>
      <c r="G11" s="36" t="str" cm="1">
        <f t="array" ref="G11">IFERROR(_xlfn.IFS(B11=Lists!$AE$3,Lists!$E$3,B11=Lists!$AE$4,Lists!$E$4),"")</f>
        <v>Grade 5</v>
      </c>
      <c r="H11" s="36" t="str" cm="1">
        <f t="array" ref="H11">IFERROR(_xlfn.IFS(B11=Lists!$AE$3,Lists!$I$7,B11=Lists!$AE$4,Lists!$K$10),"")</f>
        <v>F24</v>
      </c>
      <c r="I11" s="38">
        <f ca="1">IFERROR(E11*AD11*F11,"")</f>
        <v>29919.200000000004</v>
      </c>
      <c r="J11" s="38">
        <f ca="1">IFERROR(E11*AE11*F11,"")</f>
        <v>9274.18</v>
      </c>
      <c r="K11" s="38">
        <f ca="1">IFERROR(IF($D$2=Lists!$U$3,E11*AF11*F11,""),"")</f>
        <v>3962.150297830909</v>
      </c>
      <c r="L11" s="38" cm="1">
        <f t="array" aca="1" ref="L11" ca="1">IFERROR(_xlfn.IFS(E11=Lists!$AK$3,T11*Lists!$AQ$3,E11=Lists!$AK$4,T11*Lists!$AQ$4,E11=Lists!$AK$5,Costs!T11*Lists!$AQ$5,Costs!E11=Lists!$AK$6,Costs!T11*Lists!$AQ$6,Costs!E11=Lists!$AK$7,Costs!T11*Lists!$AQ$7),"")</f>
        <v>76970</v>
      </c>
      <c r="M11" s="38">
        <f ca="1">SUM(I11:L11)</f>
        <v>120125.5302978309</v>
      </c>
      <c r="N11" s="38" t="str">
        <f>IF($D$4="Yes",M11*0.8,"")</f>
        <v/>
      </c>
      <c r="S11" s="12" t="str">
        <f ca="1">IFERROR(VLOOKUP(C11,'Data Verified'!$V$4:$W$30,2,0),"")</f>
        <v>LAB</v>
      </c>
      <c r="T11" s="12">
        <f ca="1">IFERROR(IF(S11="LAB",'Data Verified'!$O$16*Costs!F11,'Data Verified'!$O$17*Costs!F11),"")</f>
        <v>76970</v>
      </c>
      <c r="U11" s="12" cm="1">
        <f t="array" aca="1" ref="U11" ca="1">IFERROR(_xlfn.IFS(E11=Lists!$AK$3,VLOOKUP(H11,'Data Verified'!B:L,11,0)*F11*Lists!$AM$3,E11=Lists!$AK$4,VLOOKUP(H11,'Data Verified'!B:L,11,0)*F11*Lists!$AM$4,E11=Lists!$AK$7,VLOOKUP(H11,'Data Verified'!B:L,11,0)*F11*Lists!$AM$7),"")</f>
        <v>3962.150297830909</v>
      </c>
      <c r="W11" s="12">
        <f ca="1">VLOOKUP(H11,'Data Verified'!B:E,2,0)</f>
        <v>29919.200000000001</v>
      </c>
      <c r="X11" s="12">
        <f ca="1">VLOOKUP(H11,'Data Verified'!B:E,3,0)</f>
        <v>9274.18</v>
      </c>
      <c r="Y11" s="12">
        <f ca="1">VLOOKUP(H11,'Data Verified'!B:L,11,0)</f>
        <v>3962.150297830909</v>
      </c>
      <c r="Z11" s="12">
        <f>E11</f>
        <v>12</v>
      </c>
      <c r="AA11" s="12">
        <f ca="1">W11/12</f>
        <v>2493.2666666666669</v>
      </c>
      <c r="AB11" s="12">
        <f t="shared" ref="AB11:AC11" ca="1" si="0">X11/12</f>
        <v>772.84833333333336</v>
      </c>
      <c r="AC11" s="12">
        <f t="shared" ca="1" si="0"/>
        <v>330.17919148590909</v>
      </c>
      <c r="AD11" s="12" cm="1">
        <f t="array" aca="1" ref="AD11" ca="1">_xlfn.IFS(Z11=Lists!$AK$3,AA11*Lists!$AM$3,Z11=Lists!$AK$4,AA11*Lists!$AM$4,Z11=Lists!$AK$5,Costs!AA11*Lists!$AM$5,Costs!Z11=Lists!$AK$6,Costs!AA11*Lists!$AM$6,Costs!Z11=Lists!$AK$7,Costs!AA11*Lists!$AM$7)</f>
        <v>2493.2666666666669</v>
      </c>
      <c r="AE11" s="12" cm="1">
        <f t="array" aca="1" ref="AE11" ca="1">_xlfn.IFS(Z11=Lists!$AK$3,AB11*Lists!$AM$3,Z11=Lists!$AK$4,AB11*Lists!$AM$4,Z11=Lists!$AK$5,Costs!AB11*Lists!$AM$5,Costs!Z11=Lists!$AK$6,Costs!AB11*Lists!$AM$6,Costs!Z11=Lists!$AK$7,Costs!AB11*Lists!$AM$7)</f>
        <v>772.84833333333336</v>
      </c>
      <c r="AF11" s="12" cm="1">
        <f t="array" aca="1" ref="AF11" ca="1">_xlfn.IFS(Z11=Lists!$AK$3,AC11*Lists!$AM$3,Z11=Lists!$AK$4,AC11*Lists!$AM$4,Z11=Lists!$AK$5,Costs!AC11*Lists!$AM$5,Costs!Z11=Lists!$AK$6,Costs!AC11*Lists!$AM$6,Costs!Z11=Lists!$AK$7,Costs!AC11*Lists!$AM$7)</f>
        <v>330.17919148590909</v>
      </c>
      <c r="AG11" s="12"/>
    </row>
    <row r="12" spans="2:33" x14ac:dyDescent="0.25">
      <c r="B12" s="16"/>
      <c r="C12" s="86"/>
      <c r="D12" s="90"/>
      <c r="E12" s="70"/>
      <c r="F12" s="16"/>
      <c r="G12" s="36" t="str" cm="1">
        <f t="array" ref="G12">IFERROR(_xlfn.IFS(B12=Lists!$AE$3,Lists!$E$3,B12=Lists!$AE$4,Lists!$E$4),"")</f>
        <v/>
      </c>
      <c r="H12" s="36" t="str" cm="1">
        <f t="array" ref="H12">IFERROR(_xlfn.IFS(B12=Lists!$AE$3,Lists!$I$7,B12=Lists!$AE$4,Lists!$K$10),"")</f>
        <v/>
      </c>
      <c r="I12" s="38" t="str">
        <f t="shared" ref="I12:I14" si="1">IFERROR(E12*AD12*F12,"")</f>
        <v/>
      </c>
      <c r="J12" s="38" t="str">
        <f t="shared" ref="J12:J14" si="2">IFERROR(E12*AE12*F12,"")</f>
        <v/>
      </c>
      <c r="K12" s="38" t="str">
        <f>IFERROR(IF($D$2=Lists!$U$3,E12*AF12*F12,""),"")</f>
        <v/>
      </c>
      <c r="L12" s="38" t="str" cm="1">
        <f t="array" aca="1" ref="L12" ca="1">IFERROR(_xlfn.IFS(E12=Lists!$AK$3,T12*Lists!$AQ$3,E12=Lists!$AK$4,T12*Lists!$AQ$4,E12=Lists!$AK$5,Costs!T12*Lists!$AQ$5,Costs!E12=Lists!$AK$6,Costs!T12*Lists!$AQ$6,Costs!E12=Lists!$AK$7,Costs!T12*Lists!$AQ$7),"")</f>
        <v/>
      </c>
      <c r="M12" s="38">
        <f ca="1">SUM(I12:L12)</f>
        <v>0</v>
      </c>
      <c r="N12" s="38" t="str">
        <f t="shared" ref="N12:N14" si="3">IF($D$4="Yes",M12*0.8,"")</f>
        <v/>
      </c>
      <c r="S12" s="12" t="str">
        <f ca="1">IFERROR(VLOOKUP(C12,'Data Verified'!$V$4:$W$30,2,0),"")</f>
        <v/>
      </c>
      <c r="T12" s="12">
        <f ca="1">IFERROR(IF(S12="LAB",'Data Verified'!$O$16*Costs!F12,'Data Verified'!$O$17*Costs!F12),"")</f>
        <v>0</v>
      </c>
      <c r="U12" s="12" t="str" cm="1">
        <f t="array" ref="U12">IFERROR(_xlfn.IFS(E12=Lists!$AK$3,VLOOKUP(H12,'Data Verified'!B:L,11,0)*F12*Lists!$AM$3,E12=Lists!$AK$4,VLOOKUP(H12,'Data Verified'!B:L,11,0)*F12*Lists!$AM$4,E12=Lists!$AK$7,VLOOKUP(H12,'Data Verified'!B:L,11,0)*F12*Lists!$AM$7),"")</f>
        <v/>
      </c>
      <c r="W12" s="12" t="e">
        <f>VLOOKUP(H12,'Data Verified'!B:E,2,0)</f>
        <v>#N/A</v>
      </c>
      <c r="X12" s="12" t="e">
        <f>VLOOKUP(H12,'Data Verified'!B:E,3,0)</f>
        <v>#N/A</v>
      </c>
      <c r="Y12" s="12" t="e">
        <f>VLOOKUP(H12,'Data Verified'!B:L,11,0)</f>
        <v>#N/A</v>
      </c>
      <c r="Z12" s="12">
        <f t="shared" ref="Z12:Z14" si="4">E12</f>
        <v>0</v>
      </c>
      <c r="AA12" s="12" t="e">
        <f t="shared" ref="AA12:AA14" si="5">W12/12</f>
        <v>#N/A</v>
      </c>
      <c r="AB12" s="12" t="e">
        <f t="shared" ref="AB12:AB14" si="6">X12/12</f>
        <v>#N/A</v>
      </c>
      <c r="AC12" s="12" t="e">
        <f t="shared" ref="AC12:AC14" si="7">Y12/12</f>
        <v>#N/A</v>
      </c>
      <c r="AD12" s="12" t="e" cm="1">
        <f t="array" ref="AD12">_xlfn.IFS(Z12=Lists!$AK$3,AA12*Lists!$AM$3,Z12=Lists!$AK$4,AA12*Lists!$AM$4,Z12=Lists!$AK$5,Costs!AA12*Lists!$AM$5,Costs!Z12=Lists!$AK$6,Costs!AA12*Lists!$AM$6,Costs!Z12=Lists!$AK$7,Costs!AA12*Lists!$AM$7)</f>
        <v>#N/A</v>
      </c>
      <c r="AE12" s="12" t="e" cm="1">
        <f t="array" ref="AE12">_xlfn.IFS(Z12=Lists!$AK$3,AB12*Lists!$AM$3,Z12=Lists!$AK$4,AB12*Lists!$AM$4,Z12=Lists!$AK$5,Costs!AB12*Lists!$AM$5,Costs!Z12=Lists!$AK$6,Costs!AB12*Lists!$AM$6,Costs!Z12=Lists!$AK$7,Costs!AB12*Lists!$AM$7)</f>
        <v>#N/A</v>
      </c>
      <c r="AF12" s="12" t="e" cm="1">
        <f t="array" ref="AF12">_xlfn.IFS(Z12=Lists!$AK$3,AC12*Lists!$AM$3,Z12=Lists!$AK$4,AC12*Lists!$AM$4,Z12=Lists!$AK$5,Costs!AC12*Lists!$AM$5,Costs!Z12=Lists!$AK$6,Costs!AC12*Lists!$AM$6,Costs!Z12=Lists!$AK$7,Costs!AC12*Lists!$AM$7)</f>
        <v>#N/A</v>
      </c>
      <c r="AG12" s="12"/>
    </row>
    <row r="13" spans="2:33" x14ac:dyDescent="0.25">
      <c r="B13" s="16"/>
      <c r="C13" s="86"/>
      <c r="D13" s="87"/>
      <c r="E13" s="70"/>
      <c r="F13" s="16"/>
      <c r="G13" s="36" t="str" cm="1">
        <f t="array" ref="G13">IFERROR(_xlfn.IFS(B13=Lists!$AE$3,Lists!$E$3,B13=Lists!$AE$4,Lists!$E$4),"")</f>
        <v/>
      </c>
      <c r="H13" s="36" t="str" cm="1">
        <f t="array" ref="H13">IFERROR(_xlfn.IFS(B13=Lists!$AE$3,Lists!$I$7,B13=Lists!$AE$4,Lists!$K$10),"")</f>
        <v/>
      </c>
      <c r="I13" s="38" t="str">
        <f t="shared" si="1"/>
        <v/>
      </c>
      <c r="J13" s="38" t="str">
        <f t="shared" si="2"/>
        <v/>
      </c>
      <c r="K13" s="38" t="str">
        <f>IFERROR(IF($D$2=Lists!$U$3,E13*AF13*F13,""),"")</f>
        <v/>
      </c>
      <c r="L13" s="38" t="str" cm="1">
        <f t="array" aca="1" ref="L13" ca="1">IFERROR(_xlfn.IFS(E13=Lists!$AK$3,T13*Lists!$AQ$3,E13=Lists!$AK$4,T13*Lists!$AQ$4,E13=Lists!$AK$5,Costs!T13*Lists!$AQ$5,Costs!E13=Lists!$AK$6,Costs!T13*Lists!$AQ$6,Costs!E13=Lists!$AK$7,Costs!T13*Lists!$AQ$7),"")</f>
        <v/>
      </c>
      <c r="M13" s="38">
        <f ca="1">SUM(I13:L13)</f>
        <v>0</v>
      </c>
      <c r="N13" s="38" t="str">
        <f t="shared" si="3"/>
        <v/>
      </c>
      <c r="S13" s="12" t="str">
        <f ca="1">IFERROR(VLOOKUP(C13,'Data Verified'!$V$4:$W$30,2,0),"")</f>
        <v/>
      </c>
      <c r="T13" s="12">
        <f ca="1">IFERROR(IF(S13="LAB",'Data Verified'!$O$16*Costs!F13,'Data Verified'!$O$17*Costs!F13),"")</f>
        <v>0</v>
      </c>
      <c r="U13" s="12" t="str" cm="1">
        <f t="array" ref="U13">IFERROR(_xlfn.IFS(E13=Lists!$AK$3,VLOOKUP(H13,'Data Verified'!B:L,11,0)*F13*Lists!$AM$3,E13=Lists!$AK$4,VLOOKUP(H13,'Data Verified'!B:L,11,0)*F13*Lists!$AM$4,E13=Lists!$AK$7,VLOOKUP(H13,'Data Verified'!B:L,11,0)*F13*Lists!$AM$7),"")</f>
        <v/>
      </c>
      <c r="W13" s="12" t="e">
        <f>VLOOKUP(H13,'Data Verified'!B:E,2,0)</f>
        <v>#N/A</v>
      </c>
      <c r="X13" s="12" t="e">
        <f>VLOOKUP(H13,'Data Verified'!B:E,3,0)</f>
        <v>#N/A</v>
      </c>
      <c r="Y13" s="12" t="e">
        <f>VLOOKUP(H13,'Data Verified'!B:L,11,0)</f>
        <v>#N/A</v>
      </c>
      <c r="Z13" s="12">
        <f t="shared" si="4"/>
        <v>0</v>
      </c>
      <c r="AA13" s="12" t="e">
        <f t="shared" si="5"/>
        <v>#N/A</v>
      </c>
      <c r="AB13" s="12" t="e">
        <f t="shared" si="6"/>
        <v>#N/A</v>
      </c>
      <c r="AC13" s="12" t="e">
        <f t="shared" si="7"/>
        <v>#N/A</v>
      </c>
      <c r="AD13" s="12" t="e" cm="1">
        <f t="array" ref="AD13">_xlfn.IFS(Z13=Lists!$AK$3,AA13*Lists!$AM$3,Z13=Lists!$AK$4,AA13*Lists!$AM$4,Z13=Lists!$AK$5,Costs!AA13*Lists!$AM$5,Costs!Z13=Lists!$AK$6,Costs!AA13*Lists!$AM$6,Costs!Z13=Lists!$AK$7,Costs!AA13*Lists!$AM$7)</f>
        <v>#N/A</v>
      </c>
      <c r="AE13" s="12" t="e" cm="1">
        <f t="array" ref="AE13">_xlfn.IFS(Z13=Lists!$AK$3,AB13*Lists!$AM$3,Z13=Lists!$AK$4,AB13*Lists!$AM$4,Z13=Lists!$AK$5,Costs!AB13*Lists!$AM$5,Costs!Z13=Lists!$AK$6,Costs!AB13*Lists!$AM$6,Costs!Z13=Lists!$AK$7,Costs!AB13*Lists!$AM$7)</f>
        <v>#N/A</v>
      </c>
      <c r="AF13" s="12" t="e" cm="1">
        <f t="array" ref="AF13">_xlfn.IFS(Z13=Lists!$AK$3,AC13*Lists!$AM$3,Z13=Lists!$AK$4,AC13*Lists!$AM$4,Z13=Lists!$AK$5,Costs!AC13*Lists!$AM$5,Costs!Z13=Lists!$AK$6,Costs!AC13*Lists!$AM$6,Costs!Z13=Lists!$AK$7,Costs!AC13*Lists!$AM$7)</f>
        <v>#N/A</v>
      </c>
      <c r="AG13" s="12"/>
    </row>
    <row r="14" spans="2:33" x14ac:dyDescent="0.25">
      <c r="B14" s="16"/>
      <c r="C14" s="86"/>
      <c r="D14" s="90"/>
      <c r="E14" s="70"/>
      <c r="F14" s="16"/>
      <c r="G14" s="36" t="str" cm="1">
        <f t="array" ref="G14">IFERROR(_xlfn.IFS(B14=Lists!$AE$3,Lists!$E$3,B14=Lists!$AE$4,Lists!$E$4),"")</f>
        <v/>
      </c>
      <c r="H14" s="36" t="str" cm="1">
        <f t="array" ref="H14">IFERROR(_xlfn.IFS(B14=Lists!$AE$3,Lists!$I$7,B14=Lists!$AE$4,Lists!$K$10),"")</f>
        <v/>
      </c>
      <c r="I14" s="38" t="str">
        <f t="shared" si="1"/>
        <v/>
      </c>
      <c r="J14" s="38" t="str">
        <f t="shared" si="2"/>
        <v/>
      </c>
      <c r="K14" s="38" t="str">
        <f>IFERROR(IF($D$2=Lists!$U$3,E14*AF14*F14,""),"")</f>
        <v/>
      </c>
      <c r="L14" s="38" t="str" cm="1">
        <f t="array" aca="1" ref="L14" ca="1">IFERROR(_xlfn.IFS(E14=Lists!$AK$3,T14*Lists!$AQ$3,E14=Lists!$AK$4,T14*Lists!$AQ$4,E14=Lists!$AK$5,Costs!T14*Lists!$AQ$5,Costs!E14=Lists!$AK$6,Costs!T14*Lists!$AQ$6,Costs!E14=Lists!$AK$7,Costs!T14*Lists!$AQ$7),"")</f>
        <v/>
      </c>
      <c r="M14" s="38">
        <f ca="1">SUM(I14:L14)</f>
        <v>0</v>
      </c>
      <c r="N14" s="38" t="str">
        <f t="shared" si="3"/>
        <v/>
      </c>
      <c r="S14" s="12" t="str">
        <f ca="1">IFERROR(VLOOKUP(C14,'Data Verified'!$V$4:$W$30,2,0),"")</f>
        <v/>
      </c>
      <c r="T14" s="12">
        <f ca="1">IFERROR(IF(S14="LAB",'Data Verified'!$O$16*Costs!F14,'Data Verified'!$O$17*Costs!F14),"")</f>
        <v>0</v>
      </c>
      <c r="U14" s="12" t="str" cm="1">
        <f t="array" ref="U14">IFERROR(_xlfn.IFS(E14=Lists!$AK$3,VLOOKUP(H14,'Data Verified'!B:L,11,0)*F14*Lists!$AM$3,E14=Lists!$AK$4,VLOOKUP(H14,'Data Verified'!B:L,11,0)*F14*Lists!$AM$4,E14=Lists!$AK$7,VLOOKUP(H14,'Data Verified'!B:L,11,0)*F14*Lists!$AM$7),"")</f>
        <v/>
      </c>
      <c r="W14" s="12" t="e">
        <f>VLOOKUP(H14,'Data Verified'!B:E,2,0)</f>
        <v>#N/A</v>
      </c>
      <c r="X14" s="12" t="e">
        <f>VLOOKUP(H14,'Data Verified'!B:E,3,0)</f>
        <v>#N/A</v>
      </c>
      <c r="Y14" s="12" t="e">
        <f>VLOOKUP(H14,'Data Verified'!B:L,11,0)</f>
        <v>#N/A</v>
      </c>
      <c r="Z14" s="12">
        <f t="shared" si="4"/>
        <v>0</v>
      </c>
      <c r="AA14" s="12" t="e">
        <f t="shared" si="5"/>
        <v>#N/A</v>
      </c>
      <c r="AB14" s="12" t="e">
        <f t="shared" si="6"/>
        <v>#N/A</v>
      </c>
      <c r="AC14" s="12" t="e">
        <f t="shared" si="7"/>
        <v>#N/A</v>
      </c>
      <c r="AD14" s="12" t="e" cm="1">
        <f t="array" ref="AD14">_xlfn.IFS(Z14=Lists!$AK$3,AA14*Lists!$AM$3,Z14=Lists!$AK$4,AA14*Lists!$AM$4,Z14=Lists!$AK$5,Costs!AA14*Lists!$AM$5,Costs!Z14=Lists!$AK$6,Costs!AA14*Lists!$AM$6,Costs!Z14=Lists!$AK$7,Costs!AA14*Lists!$AM$7)</f>
        <v>#N/A</v>
      </c>
      <c r="AE14" s="12" t="e" cm="1">
        <f t="array" ref="AE14">_xlfn.IFS(Z14=Lists!$AK$3,AB14*Lists!$AM$3,Z14=Lists!$AK$4,AB14*Lists!$AM$4,Z14=Lists!$AK$5,Costs!AB14*Lists!$AM$5,Costs!Z14=Lists!$AK$6,Costs!AB14*Lists!$AM$6,Costs!Z14=Lists!$AK$7,Costs!AB14*Lists!$AM$7)</f>
        <v>#N/A</v>
      </c>
      <c r="AF14" s="12" t="e" cm="1">
        <f t="array" ref="AF14">_xlfn.IFS(Z14=Lists!$AK$3,AC14*Lists!$AM$3,Z14=Lists!$AK$4,AC14*Lists!$AM$4,Z14=Lists!$AK$5,Costs!AC14*Lists!$AM$5,Costs!Z14=Lists!$AK$6,Costs!AC14*Lists!$AM$6,Costs!Z14=Lists!$AK$7,Costs!AC14*Lists!$AM$7)</f>
        <v>#N/A</v>
      </c>
      <c r="AG14" s="12"/>
    </row>
    <row r="15" spans="2:33" ht="3" customHeight="1" thickBot="1" x14ac:dyDescent="0.3">
      <c r="S15" s="2" t="str">
        <f ca="1">IFERROR(VLOOKUP(C15,'Data Verified'!$V$4:$W$30,2,0),"")</f>
        <v/>
      </c>
      <c r="U15" s="12" t="str" cm="1">
        <f t="array" ref="U15">IFERROR(_xlfn.IFS(E15=Lists!$AK$3,VLOOKUP(H15,'Data Verified'!B:L,11,0)*F15*Lists!$AM$3,E15=Lists!$AK$4,VLOOKUP(H15,'Data Verified'!B:L,11,0)*F15*Lists!$AM$4,E15=Lists!$AK$7,VLOOKUP(H15,'Data Verified'!B:L,11,0)*F15*Lists!$AM$7),"")</f>
        <v/>
      </c>
    </row>
    <row r="16" spans="2:33" ht="15.75" thickTop="1" x14ac:dyDescent="0.25">
      <c r="E16" s="1"/>
      <c r="F16" s="22"/>
      <c r="G16" s="22" t="s">
        <v>33</v>
      </c>
      <c r="H16" s="1"/>
      <c r="I16" s="39">
        <f t="shared" ref="I16:N16" ca="1" si="8">SUM(I11:I14)</f>
        <v>29919.200000000004</v>
      </c>
      <c r="J16" s="39">
        <f t="shared" ca="1" si="8"/>
        <v>9274.18</v>
      </c>
      <c r="K16" s="39">
        <f t="shared" ca="1" si="8"/>
        <v>3962.150297830909</v>
      </c>
      <c r="L16" s="39">
        <f t="shared" ca="1" si="8"/>
        <v>76970</v>
      </c>
      <c r="M16" s="39">
        <f t="shared" ca="1" si="8"/>
        <v>120125.5302978309</v>
      </c>
      <c r="N16" s="39">
        <f t="shared" si="8"/>
        <v>0</v>
      </c>
      <c r="S16" s="2" t="str">
        <f ca="1">IFERROR(VLOOKUP(C16,'Data Verified'!$V$4:$W$30,2,0),"")</f>
        <v/>
      </c>
      <c r="U16" s="2" t="str" cm="1">
        <f t="array" ref="U16">IFERROR(_xlfn.IFS(E16=Lists!$AK$3,VLOOKUP(H16,'Data Verified'!B:L,11,0)*F16*Lists!$AM$3,E16=Lists!$AK$4,VLOOKUP(H16,'Data Verified'!B:L,11,0)*F16*Lists!$AM$4,E16=Lists!$AK$7,VLOOKUP(H16,'Data Verified'!B:L,11,0)*F16*Lists!$AM$7),"")</f>
        <v/>
      </c>
    </row>
    <row r="17" spans="2:32" ht="7.5" customHeight="1" x14ac:dyDescent="0.25">
      <c r="E17" s="1"/>
      <c r="F17" s="22"/>
      <c r="G17" s="1"/>
      <c r="H17" s="34"/>
      <c r="I17" s="34"/>
      <c r="J17" s="34"/>
      <c r="K17" s="34"/>
      <c r="L17" s="34"/>
      <c r="M17" s="34"/>
      <c r="S17" s="2" t="str">
        <f ca="1">IFERROR(VLOOKUP(C17,'Data Verified'!$V$4:$W$30,2,0),"")</f>
        <v/>
      </c>
      <c r="U17" s="2" t="str" cm="1">
        <f t="array" ref="U17">IFERROR(_xlfn.IFS(E17=Lists!$AK$3,VLOOKUP(H17,'Data Verified'!B:L,11,0)*F17*Lists!$AM$3,E17=Lists!$AK$4,VLOOKUP(H17,'Data Verified'!B:L,11,0)*F17*Lists!$AM$4,E17=Lists!$AK$7,VLOOKUP(H17,'Data Verified'!B:L,11,0)*F17*Lists!$AM$7),"")</f>
        <v/>
      </c>
    </row>
    <row r="18" spans="2:32" x14ac:dyDescent="0.25">
      <c r="B18" s="79" t="s">
        <v>161</v>
      </c>
      <c r="C18" s="79"/>
      <c r="D18" s="79" t="s">
        <v>161</v>
      </c>
      <c r="E18" s="79"/>
      <c r="F18" s="79"/>
      <c r="G18" s="79"/>
      <c r="H18" s="79"/>
      <c r="I18" s="79"/>
      <c r="J18" s="79"/>
      <c r="K18" s="79"/>
      <c r="L18" s="79"/>
      <c r="M18" s="79"/>
      <c r="N18" s="81"/>
      <c r="S18" s="2" t="str">
        <f ca="1">IFERROR(VLOOKUP(C18,'Data Verified'!$V$4:$W$30,2,0),"")</f>
        <v/>
      </c>
      <c r="U18" s="2" t="str" cm="1">
        <f t="array" ref="U18">IFERROR(_xlfn.IFS(E18=Lists!$AK$3,VLOOKUP(H18,'Data Verified'!B:L,11,0)*F18*Lists!$AM$3,E18=Lists!$AK$4,VLOOKUP(H18,'Data Verified'!B:L,11,0)*F18*Lists!$AM$4,E18=Lists!$AK$7,VLOOKUP(H18,'Data Verified'!B:L,11,0)*F18*Lists!$AM$7),"")</f>
        <v/>
      </c>
      <c r="W18" s="85" t="s">
        <v>162</v>
      </c>
      <c r="X18" s="75"/>
      <c r="Y18" s="76"/>
      <c r="AA18" s="85" t="s">
        <v>163</v>
      </c>
      <c r="AB18" s="75"/>
      <c r="AC18" s="76"/>
      <c r="AD18" s="85" t="s">
        <v>164</v>
      </c>
      <c r="AE18" s="75"/>
      <c r="AF18" s="76"/>
    </row>
    <row r="19" spans="2:32" x14ac:dyDescent="0.25">
      <c r="B19" s="4" t="s">
        <v>165</v>
      </c>
      <c r="C19" s="88" t="s">
        <v>166</v>
      </c>
      <c r="D19" s="89"/>
      <c r="E19" s="69" t="s">
        <v>42</v>
      </c>
      <c r="F19" s="15" t="s">
        <v>167</v>
      </c>
      <c r="G19" s="15" t="s">
        <v>30</v>
      </c>
      <c r="H19" s="15" t="s">
        <v>31</v>
      </c>
      <c r="I19" s="15" t="s">
        <v>24</v>
      </c>
      <c r="J19" s="15" t="s">
        <v>32</v>
      </c>
      <c r="K19" s="15" t="s">
        <v>25</v>
      </c>
      <c r="L19" s="15" t="s">
        <v>168</v>
      </c>
      <c r="M19" s="15" t="s">
        <v>33</v>
      </c>
      <c r="N19" s="15" t="str">
        <f>IF($D$4="Yes","RC Contribution","N/A")</f>
        <v>N/A</v>
      </c>
      <c r="S19" s="12" t="s">
        <v>169</v>
      </c>
      <c r="T19" s="12" t="s">
        <v>170</v>
      </c>
      <c r="U19" s="12" t="s">
        <v>25</v>
      </c>
      <c r="W19" s="36" t="s">
        <v>162</v>
      </c>
      <c r="X19" s="36" t="s">
        <v>171</v>
      </c>
      <c r="Y19" s="36" t="s">
        <v>172</v>
      </c>
      <c r="Z19" s="36" t="s">
        <v>42</v>
      </c>
      <c r="AA19" s="12" t="s">
        <v>163</v>
      </c>
      <c r="AB19" s="12" t="s">
        <v>173</v>
      </c>
      <c r="AC19" s="12" t="s">
        <v>174</v>
      </c>
      <c r="AD19" s="45" t="s">
        <v>175</v>
      </c>
      <c r="AE19" s="45" t="s">
        <v>176</v>
      </c>
      <c r="AF19" s="45" t="s">
        <v>177</v>
      </c>
    </row>
    <row r="20" spans="2:32" x14ac:dyDescent="0.25">
      <c r="B20" s="16"/>
      <c r="C20" s="86"/>
      <c r="D20" s="87"/>
      <c r="E20" s="70"/>
      <c r="F20" s="16"/>
      <c r="G20" s="63" t="str" cm="1">
        <f t="array" ref="G20">IFERROR(_xlfn.IFS(B20=Lists!$AG$3,Lists!$A$3,B20=Lists!$AG$4,Lists!$A$4),"")</f>
        <v/>
      </c>
      <c r="H20" s="64" t="str" cm="1">
        <f t="array" ref="H20">IFERROR(_xlfn.IFS(B20=Lists!$AG$3,Lists!$M$7,B20=Lists!$AG$4,Lists!$O$5),"")</f>
        <v/>
      </c>
      <c r="I20" s="38" t="str">
        <f>IFERROR(E20*AD20*F20,"")</f>
        <v/>
      </c>
      <c r="J20" s="38" t="str">
        <f>IFERROR(E20*AE20*F20,"")</f>
        <v/>
      </c>
      <c r="K20" s="38" t="str">
        <f>IFERROR(IF($D$2=Lists!$U$3,E20*AF20*F20,""),"")</f>
        <v/>
      </c>
      <c r="L20" s="38" t="str" cm="1">
        <f t="array" aca="1" ref="L20" ca="1">IFERROR(_xlfn.IFS(E20=Lists!$AK$3,T20*Lists!$AQ$3,E20=Lists!$AK$4,T20*Lists!$AQ$4,E20=Lists!$AK$5,Costs!T20*Lists!$AQ$5,Costs!E20=Lists!$AK$6,Costs!T20*Lists!$AQ$6,Costs!E20=Lists!$AK$7,Costs!T20*Lists!$AQ$7),"")</f>
        <v/>
      </c>
      <c r="M20" s="38">
        <f ca="1">SUM(I20:L20)</f>
        <v>0</v>
      </c>
      <c r="N20" s="38" t="str">
        <f>IF($D$4="Yes",M20*0.8,"")</f>
        <v/>
      </c>
      <c r="S20" s="12" t="str">
        <f ca="1">IFERROR(VLOOKUP(C20,'Data Verified'!$V$4:$W$30,2,0),"")</f>
        <v/>
      </c>
      <c r="T20" s="12">
        <f ca="1">IFERROR(IF(S20="LAB",'Data Verified'!$O$16*Costs!F20,'Data Verified'!$O$17*Costs!F20),"")</f>
        <v>0</v>
      </c>
      <c r="U20" s="12" t="str" cm="1">
        <f t="array" ref="U20">IFERROR(_xlfn.IFS(E20=Lists!$AK$3,VLOOKUP(H20,'Data Verified'!B:L,11,0)*F20*Lists!$AM$3,E20=Lists!$AK$4,VLOOKUP(H20,'Data Verified'!B:L,11,0)*F20*Lists!$AM$4,E20=Lists!$AK$7,VLOOKUP(H20,'Data Verified'!B:L,11,0)*F20*Lists!$AM$7),"")</f>
        <v/>
      </c>
      <c r="W20" s="12" t="e">
        <f>VLOOKUP(H20,'Data Verified'!B:E,2,0)</f>
        <v>#N/A</v>
      </c>
      <c r="X20" s="12" t="e">
        <f>VLOOKUP(H20,'Data Verified'!B:E,3,0)</f>
        <v>#N/A</v>
      </c>
      <c r="Y20" s="12" t="e">
        <f>VLOOKUP(H20,'Data Verified'!B:L,11,0)</f>
        <v>#N/A</v>
      </c>
      <c r="Z20" s="12">
        <f>E20</f>
        <v>0</v>
      </c>
      <c r="AA20" s="12" t="e">
        <f>W20/12</f>
        <v>#N/A</v>
      </c>
      <c r="AB20" s="12" t="e">
        <f t="shared" ref="AB20:AB23" si="9">X20/12</f>
        <v>#N/A</v>
      </c>
      <c r="AC20" s="12" t="e">
        <f t="shared" ref="AC20:AC23" si="10">Y20/12</f>
        <v>#N/A</v>
      </c>
      <c r="AD20" s="12" t="e" cm="1">
        <f t="array" ref="AD20">_xlfn.IFS(Z20=Lists!$AK$3,AA20*Lists!$AM$3,Z20=Lists!$AK$4,AA20*Lists!$AM$4,Z20=Lists!$AK$5,Costs!AA20*Lists!$AM$5,Costs!Z20=Lists!$AK$6,Costs!AA20*Lists!$AM$6,Costs!Z20=Lists!$AK$7,Costs!AA20*Lists!$AM$7)</f>
        <v>#N/A</v>
      </c>
      <c r="AE20" s="12" t="e" cm="1">
        <f t="array" ref="AE20">_xlfn.IFS(Z20=Lists!$AK$3,AB20*Lists!$AM$3,Z20=Lists!$AK$4,AB20*Lists!$AM$4,Z20=Lists!$AK$5,Costs!AB20*Lists!$AM$5,Costs!Z20=Lists!$AK$6,Costs!AB20*Lists!$AM$6,Costs!Z20=Lists!$AK$7,Costs!AB20*Lists!$AM$7)</f>
        <v>#N/A</v>
      </c>
      <c r="AF20" s="12" t="e" cm="1">
        <f t="array" ref="AF20">_xlfn.IFS(Z20=Lists!$AK$3,AC20*Lists!$AM$3,Z20=Lists!$AK$4,AC20*Lists!$AM$4,Z20=Lists!$AK$5,Costs!AC20*Lists!$AM$5,Costs!Z20=Lists!$AK$6,Costs!AC20*Lists!$AM$6,Costs!Z20=Lists!$AK$7,Costs!AC20*Lists!$AM$7)</f>
        <v>#N/A</v>
      </c>
    </row>
    <row r="21" spans="2:32" x14ac:dyDescent="0.25">
      <c r="B21" s="16"/>
      <c r="C21" s="86"/>
      <c r="D21" s="90"/>
      <c r="E21" s="70"/>
      <c r="F21" s="16"/>
      <c r="G21" s="63" t="str" cm="1">
        <f t="array" ref="G21">IFERROR(_xlfn.IFS(B21=Lists!$AG$3,Lists!$A$3,B21=Lists!$AG$4,Lists!$A$4),"")</f>
        <v/>
      </c>
      <c r="H21" s="64" t="str" cm="1">
        <f t="array" ref="H21">IFERROR(_xlfn.IFS(B21=Lists!$AG$3,Lists!$M$7,B21=Lists!$AG$4,Lists!$O$5),"")</f>
        <v/>
      </c>
      <c r="I21" s="38" t="str">
        <f t="shared" ref="I21:I23" si="11">IFERROR(E21*AD21*F21,"")</f>
        <v/>
      </c>
      <c r="J21" s="38" t="str">
        <f t="shared" ref="J21:J23" si="12">IFERROR(E21*AE21*F21,"")</f>
        <v/>
      </c>
      <c r="K21" s="38" t="str">
        <f>IFERROR(IF($D$2=Lists!$U$3,E21*AF21*F21,""),"")</f>
        <v/>
      </c>
      <c r="L21" s="38" t="str" cm="1">
        <f t="array" aca="1" ref="L21" ca="1">IFERROR(_xlfn.IFS(E21=Lists!$AK$3,T21*Lists!$AQ$3,E21=Lists!$AK$4,T21*Lists!$AQ$4,E21=Lists!$AK$5,Costs!T21*Lists!$AQ$5,Costs!E21=Lists!$AK$6,Costs!T21*Lists!$AQ$6,Costs!E21=Lists!$AK$7,Costs!T21*Lists!$AQ$7),"")</f>
        <v/>
      </c>
      <c r="M21" s="38">
        <f t="shared" ref="M21:M23" ca="1" si="13">SUM(I21:L21)</f>
        <v>0</v>
      </c>
      <c r="N21" s="38" t="str">
        <f t="shared" ref="N21:N23" si="14">IF($D$4="Yes",M21*0.8,"")</f>
        <v/>
      </c>
      <c r="S21" s="12" t="str">
        <f ca="1">IFERROR(VLOOKUP(C21,'Data Verified'!$V$4:$W$30,2,0),"")</f>
        <v/>
      </c>
      <c r="T21" s="12">
        <f ca="1">IFERROR(IF(S21="LAB",'Data Verified'!$O$16*Costs!F21,'Data Verified'!$O$17*Costs!F21),"")</f>
        <v>0</v>
      </c>
      <c r="U21" s="12" t="str" cm="1">
        <f t="array" ref="U21">IFERROR(_xlfn.IFS(E21=Lists!$AK$3,VLOOKUP(H21,'Data Verified'!B:L,11,0)*F21*Lists!$AM$3,E21=Lists!$AK$4,VLOOKUP(H21,'Data Verified'!B:L,11,0)*F21*Lists!$AM$4,E21=Lists!$AK$7,VLOOKUP(H21,'Data Verified'!B:L,11,0)*F21*Lists!$AM$7),"")</f>
        <v/>
      </c>
      <c r="W21" s="12" t="e">
        <f>VLOOKUP(H21,'Data Verified'!B:E,2,0)</f>
        <v>#N/A</v>
      </c>
      <c r="X21" s="12" t="e">
        <f>VLOOKUP(H21,'Data Verified'!B:E,3,0)</f>
        <v>#N/A</v>
      </c>
      <c r="Y21" s="12" t="e">
        <f>VLOOKUP(H21,'Data Verified'!B:L,11,0)</f>
        <v>#N/A</v>
      </c>
      <c r="Z21" s="12">
        <f t="shared" ref="Z21:Z23" si="15">E21</f>
        <v>0</v>
      </c>
      <c r="AA21" s="12" t="e">
        <f t="shared" ref="AA21:AA23" si="16">W21/12</f>
        <v>#N/A</v>
      </c>
      <c r="AB21" s="12" t="e">
        <f t="shared" si="9"/>
        <v>#N/A</v>
      </c>
      <c r="AC21" s="12" t="e">
        <f t="shared" si="10"/>
        <v>#N/A</v>
      </c>
      <c r="AD21" s="12" t="e" cm="1">
        <f t="array" ref="AD21">_xlfn.IFS(Z21=Lists!$AK$3,AA21*Lists!$AM$3,Z21=Lists!$AK$4,AA21*Lists!$AM$4,Z21=Lists!$AK$5,Costs!AA21*Lists!$AM$5,Costs!Z21=Lists!$AK$6,Costs!AA21*Lists!$AM$6,Costs!Z21=Lists!$AK$7,Costs!AA21*Lists!$AM$7)</f>
        <v>#N/A</v>
      </c>
      <c r="AE21" s="12" t="e" cm="1">
        <f t="array" ref="AE21">_xlfn.IFS(Z21=Lists!$AK$3,AB21*Lists!$AM$3,Z21=Lists!$AK$4,AB21*Lists!$AM$4,Z21=Lists!$AK$5,Costs!AB21*Lists!$AM$5,Costs!Z21=Lists!$AK$6,Costs!AB21*Lists!$AM$6,Costs!Z21=Lists!$AK$7,Costs!AB21*Lists!$AM$7)</f>
        <v>#N/A</v>
      </c>
      <c r="AF21" s="12" t="e" cm="1">
        <f t="array" ref="AF21">_xlfn.IFS(Z21=Lists!$AK$3,AC21*Lists!$AM$3,Z21=Lists!$AK$4,AC21*Lists!$AM$4,Z21=Lists!$AK$5,Costs!AC21*Lists!$AM$5,Costs!Z21=Lists!$AK$6,Costs!AC21*Lists!$AM$6,Costs!Z21=Lists!$AK$7,Costs!AC21*Lists!$AM$7)</f>
        <v>#N/A</v>
      </c>
    </row>
    <row r="22" spans="2:32" x14ac:dyDescent="0.25">
      <c r="B22" s="16"/>
      <c r="C22" s="86"/>
      <c r="D22" s="90"/>
      <c r="E22" s="70"/>
      <c r="F22" s="16"/>
      <c r="G22" s="63" t="str" cm="1">
        <f t="array" ref="G22">IFERROR(_xlfn.IFS(B22=Lists!$AG$3,Lists!$A$3,B22=Lists!$AG$4,Lists!$A$4),"")</f>
        <v/>
      </c>
      <c r="H22" s="64" t="str" cm="1">
        <f t="array" ref="H22">IFERROR(_xlfn.IFS(B22=Lists!$AG$3,Lists!$M$7,B22=Lists!$AG$4,Lists!$O$5),"")</f>
        <v/>
      </c>
      <c r="I22" s="38" t="str">
        <f t="shared" si="11"/>
        <v/>
      </c>
      <c r="J22" s="38" t="str">
        <f t="shared" si="12"/>
        <v/>
      </c>
      <c r="K22" s="38" t="str">
        <f>IFERROR(IF($D$2=Lists!$U$3,E22*AF22*F22,""),"")</f>
        <v/>
      </c>
      <c r="L22" s="38" t="str" cm="1">
        <f t="array" aca="1" ref="L22" ca="1">IFERROR(_xlfn.IFS(E22=Lists!$AK$3,T22*Lists!$AQ$3,E22=Lists!$AK$4,T22*Lists!$AQ$4,E22=Lists!$AK$5,Costs!T22*Lists!$AQ$5,Costs!E22=Lists!$AK$6,Costs!T22*Lists!$AQ$6,Costs!E22=Lists!$AK$7,Costs!T22*Lists!$AQ$7),"")</f>
        <v/>
      </c>
      <c r="M22" s="38">
        <f t="shared" ca="1" si="13"/>
        <v>0</v>
      </c>
      <c r="N22" s="38" t="str">
        <f t="shared" si="14"/>
        <v/>
      </c>
      <c r="S22" s="12" t="str">
        <f ca="1">IFERROR(VLOOKUP(C22,'Data Verified'!$V$4:$W$30,2,0),"")</f>
        <v/>
      </c>
      <c r="T22" s="12">
        <f ca="1">IFERROR(IF(S22="LAB",'Data Verified'!$O$16*Costs!F22,'Data Verified'!$O$17*Costs!F22),"")</f>
        <v>0</v>
      </c>
      <c r="U22" s="12" t="str" cm="1">
        <f t="array" ref="U22">IFERROR(_xlfn.IFS(E22=Lists!$AK$3,VLOOKUP(H22,'Data Verified'!B:L,11,0)*F22*Lists!$AM$3,E22=Lists!$AK$4,VLOOKUP(H22,'Data Verified'!B:L,11,0)*F22*Lists!$AM$4,E22=Lists!$AK$7,VLOOKUP(H22,'Data Verified'!B:L,11,0)*F22*Lists!$AM$7),"")</f>
        <v/>
      </c>
      <c r="W22" s="12" t="e">
        <f>VLOOKUP(H22,'Data Verified'!B:E,2,0)</f>
        <v>#N/A</v>
      </c>
      <c r="X22" s="12" t="e">
        <f>VLOOKUP(H22,'Data Verified'!B:E,3,0)</f>
        <v>#N/A</v>
      </c>
      <c r="Y22" s="12" t="e">
        <f>VLOOKUP(H22,'Data Verified'!B:L,11,0)</f>
        <v>#N/A</v>
      </c>
      <c r="Z22" s="12">
        <f t="shared" si="15"/>
        <v>0</v>
      </c>
      <c r="AA22" s="12" t="e">
        <f t="shared" si="16"/>
        <v>#N/A</v>
      </c>
      <c r="AB22" s="12" t="e">
        <f t="shared" si="9"/>
        <v>#N/A</v>
      </c>
      <c r="AC22" s="12" t="e">
        <f t="shared" si="10"/>
        <v>#N/A</v>
      </c>
      <c r="AD22" s="12" t="e" cm="1">
        <f t="array" ref="AD22">_xlfn.IFS(Z22=Lists!$AK$3,AA22*Lists!$AM$3,Z22=Lists!$AK$4,AA22*Lists!$AM$4,Z22=Lists!$AK$5,Costs!AA22*Lists!$AM$5,Costs!Z22=Lists!$AK$6,Costs!AA22*Lists!$AM$6,Costs!Z22=Lists!$AK$7,Costs!AA22*Lists!$AM$7)</f>
        <v>#N/A</v>
      </c>
      <c r="AE22" s="12" t="e" cm="1">
        <f t="array" ref="AE22">_xlfn.IFS(Z22=Lists!$AK$3,AB22*Lists!$AM$3,Z22=Lists!$AK$4,AB22*Lists!$AM$4,Z22=Lists!$AK$5,Costs!AB22*Lists!$AM$5,Costs!Z22=Lists!$AK$6,Costs!AB22*Lists!$AM$6,Costs!Z22=Lists!$AK$7,Costs!AB22*Lists!$AM$7)</f>
        <v>#N/A</v>
      </c>
      <c r="AF22" s="12" t="e" cm="1">
        <f t="array" ref="AF22">_xlfn.IFS(Z22=Lists!$AK$3,AC22*Lists!$AM$3,Z22=Lists!$AK$4,AC22*Lists!$AM$4,Z22=Lists!$AK$5,Costs!AC22*Lists!$AM$5,Costs!Z22=Lists!$AK$6,Costs!AC22*Lists!$AM$6,Costs!Z22=Lists!$AK$7,Costs!AC22*Lists!$AM$7)</f>
        <v>#N/A</v>
      </c>
    </row>
    <row r="23" spans="2:32" x14ac:dyDescent="0.25">
      <c r="B23" s="16"/>
      <c r="C23" s="86"/>
      <c r="D23" s="87"/>
      <c r="E23" s="70"/>
      <c r="F23" s="16"/>
      <c r="G23" s="63" t="str" cm="1">
        <f t="array" ref="G23">IFERROR(_xlfn.IFS(B23=Lists!$AG$3,Lists!$A$3,B23=Lists!$AG$4,Lists!$A$4),"")</f>
        <v/>
      </c>
      <c r="H23" s="64" t="str" cm="1">
        <f t="array" ref="H23">IFERROR(_xlfn.IFS(B23=Lists!$AG$3,Lists!$M$7,B23=Lists!$AG$4,Lists!$O$5),"")</f>
        <v/>
      </c>
      <c r="I23" s="38" t="str">
        <f t="shared" si="11"/>
        <v/>
      </c>
      <c r="J23" s="38" t="str">
        <f t="shared" si="12"/>
        <v/>
      </c>
      <c r="K23" s="38" t="str">
        <f>IFERROR(IF($D$2=Lists!$U$3,E23*AF23*F23,""),"")</f>
        <v/>
      </c>
      <c r="L23" s="38" t="str" cm="1">
        <f t="array" aca="1" ref="L23" ca="1">IFERROR(_xlfn.IFS(E23=Lists!$AK$3,T23*Lists!$AQ$3,E23=Lists!$AK$4,T23*Lists!$AQ$4,E23=Lists!$AK$5,Costs!T23*Lists!$AQ$5,Costs!E23=Lists!$AK$6,Costs!T23*Lists!$AQ$6,Costs!E23=Lists!$AK$7,Costs!T23*Lists!$AQ$7),"")</f>
        <v/>
      </c>
      <c r="M23" s="38">
        <f t="shared" ca="1" si="13"/>
        <v>0</v>
      </c>
      <c r="N23" s="38" t="str">
        <f t="shared" si="14"/>
        <v/>
      </c>
      <c r="S23" s="12" t="str">
        <f ca="1">IFERROR(VLOOKUP(C23,'Data Verified'!$V$4:$W$30,2,0),"")</f>
        <v/>
      </c>
      <c r="T23" s="12">
        <f ca="1">IFERROR(IF(S23="LAB",'Data Verified'!$O$16*Costs!F23,'Data Verified'!$O$17*Costs!F23),"")</f>
        <v>0</v>
      </c>
      <c r="U23" s="12" t="str" cm="1">
        <f t="array" ref="U23">IFERROR(_xlfn.IFS(E23=Lists!$AK$3,VLOOKUP(H23,'Data Verified'!B:L,11,0)*F23*Lists!$AM$3,E23=Lists!$AK$4,VLOOKUP(H23,'Data Verified'!B:L,11,0)*F23*Lists!$AM$4,E23=Lists!$AK$7,VLOOKUP(H23,'Data Verified'!B:L,11,0)*F23*Lists!$AM$7),"")</f>
        <v/>
      </c>
      <c r="W23" s="12" t="e">
        <f>VLOOKUP(H23,'Data Verified'!B:E,2,0)</f>
        <v>#N/A</v>
      </c>
      <c r="X23" s="12" t="e">
        <f>VLOOKUP(H23,'Data Verified'!B:E,3,0)</f>
        <v>#N/A</v>
      </c>
      <c r="Y23" s="12" t="e">
        <f>VLOOKUP(H23,'Data Verified'!B:L,11,0)</f>
        <v>#N/A</v>
      </c>
      <c r="Z23" s="12">
        <f t="shared" si="15"/>
        <v>0</v>
      </c>
      <c r="AA23" s="12" t="e">
        <f t="shared" si="16"/>
        <v>#N/A</v>
      </c>
      <c r="AB23" s="12" t="e">
        <f t="shared" si="9"/>
        <v>#N/A</v>
      </c>
      <c r="AC23" s="12" t="e">
        <f t="shared" si="10"/>
        <v>#N/A</v>
      </c>
      <c r="AD23" s="12" t="e" cm="1">
        <f t="array" ref="AD23">_xlfn.IFS(Z23=Lists!$AK$3,AA23*Lists!$AM$3,Z23=Lists!$AK$4,AA23*Lists!$AM$4,Z23=Lists!$AK$5,Costs!AA23*Lists!$AM$5,Costs!Z23=Lists!$AK$6,Costs!AA23*Lists!$AM$6,Costs!Z23=Lists!$AK$7,Costs!AA23*Lists!$AM$7)</f>
        <v>#N/A</v>
      </c>
      <c r="AE23" s="12" t="e" cm="1">
        <f t="array" ref="AE23">_xlfn.IFS(Z23=Lists!$AK$3,AB23*Lists!$AM$3,Z23=Lists!$AK$4,AB23*Lists!$AM$4,Z23=Lists!$AK$5,Costs!AB23*Lists!$AM$5,Costs!Z23=Lists!$AK$6,Costs!AB23*Lists!$AM$6,Costs!Z23=Lists!$AK$7,Costs!AB23*Lists!$AM$7)</f>
        <v>#N/A</v>
      </c>
      <c r="AF23" s="12" t="e" cm="1">
        <f t="array" ref="AF23">_xlfn.IFS(Z23=Lists!$AK$3,AC23*Lists!$AM$3,Z23=Lists!$AK$4,AC23*Lists!$AM$4,Z23=Lists!$AK$5,Costs!AC23*Lists!$AM$5,Costs!Z23=Lists!$AK$6,Costs!AC23*Lists!$AM$6,Costs!Z23=Lists!$AK$7,Costs!AC23*Lists!$AM$7)</f>
        <v>#N/A</v>
      </c>
    </row>
    <row r="24" spans="2:32" ht="3" customHeight="1" thickBot="1" x14ac:dyDescent="0.3">
      <c r="S24" s="2" t="str">
        <f ca="1">IFERROR(VLOOKUP(C24,'Data Verified'!V17:W43,2,0),"")</f>
        <v/>
      </c>
    </row>
    <row r="25" spans="2:32" ht="15.75" thickTop="1" x14ac:dyDescent="0.25">
      <c r="F25" s="1"/>
      <c r="G25" s="22" t="s">
        <v>33</v>
      </c>
      <c r="H25" s="1"/>
      <c r="I25" s="39">
        <f t="shared" ref="I25:N25" si="17">SUM(I20:I23)</f>
        <v>0</v>
      </c>
      <c r="J25" s="39">
        <f t="shared" si="17"/>
        <v>0</v>
      </c>
      <c r="K25" s="39">
        <f t="shared" si="17"/>
        <v>0</v>
      </c>
      <c r="L25" s="39">
        <f t="shared" ca="1" si="17"/>
        <v>0</v>
      </c>
      <c r="M25" s="39">
        <f t="shared" ca="1" si="17"/>
        <v>0</v>
      </c>
      <c r="N25" s="39">
        <f t="shared" si="17"/>
        <v>0</v>
      </c>
    </row>
    <row r="26" spans="2:32" x14ac:dyDescent="0.25">
      <c r="F26" s="1"/>
      <c r="G26" s="22"/>
      <c r="H26" s="1"/>
      <c r="I26" s="41"/>
      <c r="J26" s="41"/>
      <c r="K26" s="41"/>
      <c r="L26" s="41"/>
      <c r="M26" s="41"/>
      <c r="N26" s="41"/>
    </row>
    <row r="27" spans="2:32" x14ac:dyDescent="0.25">
      <c r="B27" s="74" t="s">
        <v>179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5"/>
      <c r="W27" s="85" t="s">
        <v>162</v>
      </c>
      <c r="X27" s="75"/>
      <c r="Y27" s="76"/>
      <c r="AA27" s="85" t="s">
        <v>163</v>
      </c>
      <c r="AB27" s="75"/>
      <c r="AC27" s="76"/>
      <c r="AD27" s="85" t="s">
        <v>164</v>
      </c>
      <c r="AE27" s="75"/>
      <c r="AF27" s="76"/>
    </row>
    <row r="28" spans="2:32" x14ac:dyDescent="0.25">
      <c r="B28" s="4" t="s">
        <v>165</v>
      </c>
      <c r="C28" s="88" t="s">
        <v>166</v>
      </c>
      <c r="D28" s="89"/>
      <c r="E28" s="69" t="s">
        <v>42</v>
      </c>
      <c r="F28" s="15" t="s">
        <v>167</v>
      </c>
      <c r="G28" s="15" t="s">
        <v>31</v>
      </c>
      <c r="H28" s="15" t="s">
        <v>24</v>
      </c>
      <c r="I28" s="15" t="s">
        <v>32</v>
      </c>
      <c r="J28" s="15" t="s">
        <v>25</v>
      </c>
      <c r="K28" s="15" t="s">
        <v>168</v>
      </c>
      <c r="L28" s="15" t="s">
        <v>33</v>
      </c>
      <c r="M28" s="15" t="str">
        <f>IF($D$4="Yes","RC Contribution","N/A")</f>
        <v>N/A</v>
      </c>
      <c r="S28" s="12" t="s">
        <v>169</v>
      </c>
      <c r="T28" s="12" t="s">
        <v>170</v>
      </c>
      <c r="U28" s="12" t="s">
        <v>25</v>
      </c>
      <c r="W28" s="36" t="s">
        <v>162</v>
      </c>
      <c r="X28" s="36" t="s">
        <v>171</v>
      </c>
      <c r="Y28" s="36" t="s">
        <v>172</v>
      </c>
      <c r="Z28" s="36" t="s">
        <v>42</v>
      </c>
      <c r="AA28" s="12" t="s">
        <v>163</v>
      </c>
      <c r="AB28" s="12" t="s">
        <v>173</v>
      </c>
      <c r="AC28" s="12" t="s">
        <v>174</v>
      </c>
      <c r="AD28" s="45" t="s">
        <v>175</v>
      </c>
      <c r="AE28" s="45" t="s">
        <v>176</v>
      </c>
      <c r="AF28" s="45" t="s">
        <v>177</v>
      </c>
    </row>
    <row r="29" spans="2:32" x14ac:dyDescent="0.25">
      <c r="B29" s="16"/>
      <c r="C29" s="86"/>
      <c r="D29" s="87"/>
      <c r="E29" s="70"/>
      <c r="F29" s="16"/>
      <c r="G29" s="37"/>
      <c r="H29" s="38" t="str">
        <f>IFERROR(E29*AD29*F29,"")</f>
        <v/>
      </c>
      <c r="I29" s="38" t="str">
        <f>IFERROR(E29*AE29*F29,"")</f>
        <v/>
      </c>
      <c r="J29" s="44" t="str">
        <f>IFERROR(IF($D$2=Lists!$U$3,E29*AF29*F29,""),"")</f>
        <v/>
      </c>
      <c r="K29" s="38" t="str" cm="1">
        <f t="array" aca="1" ref="K29" ca="1">IFERROR(_xlfn.IFS(E29=Lists!$AK$3,T29*Lists!$AQ$3,E29=Lists!$AK$4,T29*Lists!$AQ$4,E29=Lists!$AK$5,Costs!T29*Lists!$AQ$5,Costs!E29=Lists!$AK$6,Costs!T29*Lists!$AQ$6,Costs!E29=Lists!$AK$7,Costs!T29*Lists!$AQ$7),"")</f>
        <v/>
      </c>
      <c r="L29" s="38">
        <f ca="1">SUM(H29:K29)</f>
        <v>0</v>
      </c>
      <c r="M29" s="38" t="str">
        <f>IF($D$4="Yes",L29*0.8,"")</f>
        <v/>
      </c>
      <c r="S29" s="12" t="str">
        <f ca="1">IFERROR(VLOOKUP(C29,'Data Verified'!$V$4:$W$30,2,0),"")</f>
        <v/>
      </c>
      <c r="T29" s="12">
        <f ca="1">IFERROR(IF(S29="LAB",'Data Verified'!$O$16*Costs!F29,'Data Verified'!$O$17*Costs!F29),"")</f>
        <v>0</v>
      </c>
      <c r="U29" s="13" t="str" cm="1">
        <f t="array" ref="U29">IFERROR(_xlfn.IFS(E29=Lists!$AK$3,VLOOKUP(G29,'Data Verified'!B:L,11,0)*F29*Lists!$AM$3,E29=Lists!$AK$4,VLOOKUP(G29,'Data Verified'!B:L,11,0)*F29*Lists!$AM$4,E29=Lists!$AK$7,VLOOKUP(G29,'Data Verified'!B:L,11,0)*F29*Lists!$AM$7),"")</f>
        <v/>
      </c>
      <c r="W29" s="12" t="e">
        <f>VLOOKUP(G29,'Data Verified'!B:E,2,0)</f>
        <v>#N/A</v>
      </c>
      <c r="X29" s="12" t="e">
        <f>VLOOKUP(G29,'Data Verified'!B:E,3,0)</f>
        <v>#N/A</v>
      </c>
      <c r="Y29" s="12" t="e">
        <f>VLOOKUP(G29,'Data Verified'!B:L,11,0)</f>
        <v>#N/A</v>
      </c>
      <c r="Z29" s="12">
        <f>E29</f>
        <v>0</v>
      </c>
      <c r="AA29" s="12" t="e">
        <f>W29/12</f>
        <v>#N/A</v>
      </c>
      <c r="AB29" s="12" t="e">
        <f t="shared" ref="AB29" si="18">X29/12</f>
        <v>#N/A</v>
      </c>
      <c r="AC29" s="12" t="e">
        <f t="shared" ref="AC29" si="19">Y29/12</f>
        <v>#N/A</v>
      </c>
      <c r="AD29" s="12" t="e" cm="1">
        <f t="array" ref="AD29">_xlfn.IFS(Z29=Lists!$AK$3,AA29*Lists!$AM$3,Z29=Lists!$AK$4,AA29*Lists!$AM$4,Z29=Lists!$AK$5,Costs!AA29*Lists!$AM$5,Costs!Z29=Lists!$AK$6,Costs!AA29*Lists!$AM$6,Costs!Z29=Lists!$AK$7,Costs!AA29*Lists!$AM$7)</f>
        <v>#N/A</v>
      </c>
      <c r="AE29" s="12" t="e" cm="1">
        <f t="array" ref="AE29">_xlfn.IFS(Z29=Lists!$AK$3,AB29*Lists!$AM$3,Z29=Lists!$AK$4,AB29*Lists!$AM$4,Z29=Lists!$AK$5,Costs!AB29*Lists!$AM$5,Costs!Z29=Lists!$AK$6,Costs!AB29*Lists!$AM$6,Costs!Z29=Lists!$AK$7,Costs!AB29*Lists!$AM$7)</f>
        <v>#N/A</v>
      </c>
      <c r="AF29" s="12" t="e" cm="1">
        <f t="array" ref="AF29">_xlfn.IFS(Z29=Lists!$AK$3,AC29*Lists!$AM$3,Z29=Lists!$AK$4,AC29*Lists!$AM$4,Z29=Lists!$AK$5,Costs!AC29*Lists!$AM$5,Costs!Z29=Lists!$AK$6,Costs!AC29*Lists!$AM$6,Costs!Z29=Lists!$AK$7,Costs!AC29*Lists!$AM$7)</f>
        <v>#N/A</v>
      </c>
    </row>
    <row r="30" spans="2:32" x14ac:dyDescent="0.25">
      <c r="B30" s="16"/>
      <c r="C30" s="86"/>
      <c r="D30" s="87"/>
      <c r="E30" s="70"/>
      <c r="F30" s="16"/>
      <c r="G30" s="37"/>
      <c r="H30" s="38" t="str">
        <f t="shared" ref="H30:H31" si="20">IFERROR(E30*AD30*F30,"")</f>
        <v/>
      </c>
      <c r="I30" s="38" t="str">
        <f t="shared" ref="I30:I31" si="21">IFERROR(E30*AE30*F30,"")</f>
        <v/>
      </c>
      <c r="J30" s="44" t="str">
        <f>IFERROR(IF($D$2=Lists!$U$3,E30*AF30*F30,""),"")</f>
        <v/>
      </c>
      <c r="K30" s="38" t="str" cm="1">
        <f t="array" aca="1" ref="K30" ca="1">IFERROR(_xlfn.IFS(E30=Lists!$AK$3,T30*Lists!$AQ$3,E30=Lists!$AK$4,T30*Lists!$AQ$4,E30=Lists!$AK$5,Costs!T30*Lists!$AQ$5,Costs!E30=Lists!$AK$6,Costs!T30*Lists!$AQ$6,Costs!E30=Lists!$AK$7,Costs!T30*Lists!$AQ$7),"")</f>
        <v/>
      </c>
      <c r="L30" s="38">
        <f t="shared" ref="L30:L31" ca="1" si="22">SUM(H30:K30)</f>
        <v>0</v>
      </c>
      <c r="M30" s="38" t="str">
        <f>IF($D$4="Yes",L30*0.8,"")</f>
        <v/>
      </c>
      <c r="S30" s="12" t="str">
        <f ca="1">IFERROR(VLOOKUP(C30,'Data Verified'!$V$4:$W$30,2,0),"")</f>
        <v/>
      </c>
      <c r="T30" s="12">
        <f ca="1">IFERROR(IF(S30="LAB",'Data Verified'!$O$16*Costs!F30,'Data Verified'!$O$17*Costs!F30),"")</f>
        <v>0</v>
      </c>
      <c r="U30" s="12" t="str" cm="1">
        <f t="array" ref="U30">IFERROR(_xlfn.IFS(E30=Lists!$AK$3,VLOOKUP(G30,'Data Verified'!B:L,11,0)*F30*Lists!$AM$3,E30=Lists!$AK$4,VLOOKUP(G30,'Data Verified'!B:L,11,0)*F30*Lists!$AM$4,E30=Lists!$AK$7,VLOOKUP(G30,'Data Verified'!B:L,11,0)*F30*Lists!$AM$7),"")</f>
        <v/>
      </c>
      <c r="W30" s="12" t="e">
        <f>VLOOKUP(G30,'Data Verified'!B:E,2,0)</f>
        <v>#N/A</v>
      </c>
      <c r="X30" s="12" t="e">
        <f>VLOOKUP(G30,'Data Verified'!B:E,3,0)</f>
        <v>#N/A</v>
      </c>
      <c r="Y30" s="12" t="e">
        <f>VLOOKUP(G30,'Data Verified'!B:L,11,0)</f>
        <v>#N/A</v>
      </c>
      <c r="Z30" s="12">
        <f t="shared" ref="Z30:Z31" si="23">E30</f>
        <v>0</v>
      </c>
      <c r="AA30" s="12" t="e">
        <f t="shared" ref="AA30:AA31" si="24">W30/12</f>
        <v>#N/A</v>
      </c>
      <c r="AB30" s="12" t="e">
        <f t="shared" ref="AB30:AB31" si="25">X30/12</f>
        <v>#N/A</v>
      </c>
      <c r="AC30" s="12" t="e">
        <f t="shared" ref="AC30:AC31" si="26">Y30/12</f>
        <v>#N/A</v>
      </c>
      <c r="AD30" s="12" t="e" cm="1">
        <f t="array" ref="AD30">_xlfn.IFS(Z30=Lists!$AK$3,AA30*Lists!$AM$3,Z30=Lists!$AK$4,AA30*Lists!$AM$4,Z30=Lists!$AK$5,Costs!AA30*Lists!$AM$5,Costs!Z30=Lists!$AK$6,Costs!AA30*Lists!$AM$6,Costs!Z30=Lists!$AK$7,Costs!AA30*Lists!$AM$7)</f>
        <v>#N/A</v>
      </c>
      <c r="AE30" s="12" t="e" cm="1">
        <f t="array" ref="AE30">_xlfn.IFS(Z30=Lists!$AK$3,AB30*Lists!$AM$3,Z30=Lists!$AK$4,AB30*Lists!$AM$4,Z30=Lists!$AK$5,Costs!AB30*Lists!$AM$5,Costs!Z30=Lists!$AK$6,Costs!AB30*Lists!$AM$6,Costs!Z30=Lists!$AK$7,Costs!AB30*Lists!$AM$7)</f>
        <v>#N/A</v>
      </c>
      <c r="AF30" s="12" t="e" cm="1">
        <f t="array" ref="AF30">_xlfn.IFS(Z30=Lists!$AK$3,AC30*Lists!$AM$3,Z30=Lists!$AK$4,AC30*Lists!$AM$4,Z30=Lists!$AK$5,Costs!AC30*Lists!$AM$5,Costs!Z30=Lists!$AK$6,Costs!AC30*Lists!$AM$6,Costs!Z30=Lists!$AK$7,Costs!AC30*Lists!$AM$7)</f>
        <v>#N/A</v>
      </c>
    </row>
    <row r="31" spans="2:32" x14ac:dyDescent="0.25">
      <c r="B31" s="16"/>
      <c r="C31" s="86"/>
      <c r="D31" s="87"/>
      <c r="E31" s="70"/>
      <c r="F31" s="16"/>
      <c r="G31" s="37"/>
      <c r="H31" s="38" t="str">
        <f t="shared" si="20"/>
        <v/>
      </c>
      <c r="I31" s="38" t="str">
        <f t="shared" si="21"/>
        <v/>
      </c>
      <c r="J31" s="44" t="str">
        <f>IFERROR(IF($D$2=Lists!$U$3,E31*AF31*F31,""),"")</f>
        <v/>
      </c>
      <c r="K31" s="38" t="str" cm="1">
        <f t="array" aca="1" ref="K31" ca="1">IFERROR(_xlfn.IFS(E31=Lists!$AK$3,T31*Lists!$AQ$3,E31=Lists!$AK$4,T31*Lists!$AQ$4,E31=Lists!$AK$5,Costs!T31*Lists!$AQ$5,Costs!E31=Lists!$AK$6,Costs!T31*Lists!$AQ$6,Costs!E31=Lists!$AK$7,Costs!T31*Lists!$AQ$7),"")</f>
        <v/>
      </c>
      <c r="L31" s="38">
        <f t="shared" ca="1" si="22"/>
        <v>0</v>
      </c>
      <c r="M31" s="38" t="str">
        <f>IF($D$4="Yes",L31*0.8,"")</f>
        <v/>
      </c>
      <c r="N31" s="43"/>
      <c r="O31" s="43"/>
      <c r="S31" s="12" t="str">
        <f ca="1">IFERROR(VLOOKUP(C31,'Data Verified'!$V$4:$W$30,2,0),"")</f>
        <v/>
      </c>
      <c r="T31" s="12">
        <f ca="1">IFERROR(IF(S31="LAB",'Data Verified'!$O$16*Costs!F31,'Data Verified'!$O$17*Costs!F31),"")</f>
        <v>0</v>
      </c>
      <c r="U31" s="12" t="str" cm="1">
        <f t="array" ref="U31">IFERROR(_xlfn.IFS(E31=Lists!$AK$3,VLOOKUP(G31,'Data Verified'!B:L,11,0)*F31*Lists!$AM$3,E31=Lists!$AK$4,VLOOKUP(G31,'Data Verified'!B:L,11,0)*F31*Lists!$AM$4,E31=Lists!$AK$7,VLOOKUP(G31,'Data Verified'!B:L,11,0)*F31*Lists!$AM$7),"")</f>
        <v/>
      </c>
      <c r="W31" s="12" t="e">
        <f>VLOOKUP(G31,'Data Verified'!B:E,2,0)</f>
        <v>#N/A</v>
      </c>
      <c r="X31" s="12" t="e">
        <f>VLOOKUP(G31,'Data Verified'!B:E,3,0)</f>
        <v>#N/A</v>
      </c>
      <c r="Y31" s="12" t="e">
        <f>VLOOKUP(G31,'Data Verified'!B:L,11,0)</f>
        <v>#N/A</v>
      </c>
      <c r="Z31" s="12">
        <f t="shared" si="23"/>
        <v>0</v>
      </c>
      <c r="AA31" s="12" t="e">
        <f t="shared" si="24"/>
        <v>#N/A</v>
      </c>
      <c r="AB31" s="12" t="e">
        <f t="shared" si="25"/>
        <v>#N/A</v>
      </c>
      <c r="AC31" s="12" t="e">
        <f t="shared" si="26"/>
        <v>#N/A</v>
      </c>
      <c r="AD31" s="12" t="e" cm="1">
        <f t="array" ref="AD31">_xlfn.IFS(Z31=Lists!$AK$3,AA31*Lists!$AM$3,Z31=Lists!$AK$4,AA31*Lists!$AM$4,Z31=Lists!$AK$5,Costs!AA31*Lists!$AM$5,Costs!Z31=Lists!$AK$6,Costs!AA31*Lists!$AM$6,Costs!Z31=Lists!$AK$7,Costs!AA31*Lists!$AM$7)</f>
        <v>#N/A</v>
      </c>
      <c r="AE31" s="12" t="e" cm="1">
        <f t="array" ref="AE31">_xlfn.IFS(Z31=Lists!$AK$3,AB31*Lists!$AM$3,Z31=Lists!$AK$4,AB31*Lists!$AM$4,Z31=Lists!$AK$5,Costs!AB31*Lists!$AM$5,Costs!Z31=Lists!$AK$6,Costs!AB31*Lists!$AM$6,Costs!Z31=Lists!$AK$7,Costs!AB31*Lists!$AM$7)</f>
        <v>#N/A</v>
      </c>
      <c r="AF31" s="12" t="e" cm="1">
        <f t="array" ref="AF31">_xlfn.IFS(Z31=Lists!$AK$3,AC31*Lists!$AM$3,Z31=Lists!$AK$4,AC31*Lists!$AM$4,Z31=Lists!$AK$5,Costs!AC31*Lists!$AM$5,Costs!Z31=Lists!$AK$6,Costs!AC31*Lists!$AM$6,Costs!Z31=Lists!$AK$7,Costs!AC31*Lists!$AM$7)</f>
        <v>#N/A</v>
      </c>
    </row>
    <row r="32" spans="2:32" ht="3" customHeight="1" thickBot="1" x14ac:dyDescent="0.3">
      <c r="F32" s="1"/>
      <c r="G32" s="65"/>
      <c r="H32" s="66"/>
      <c r="I32" s="38">
        <f t="shared" ref="I32" si="27">IFERROR(E32*AE32,"")</f>
        <v>0</v>
      </c>
      <c r="J32" s="42"/>
      <c r="K32" s="42"/>
      <c r="L32" s="42"/>
      <c r="M32" s="42"/>
      <c r="N32" s="42"/>
    </row>
    <row r="33" spans="2:32" ht="15.75" thickTop="1" x14ac:dyDescent="0.25">
      <c r="F33" s="1"/>
      <c r="G33" s="22" t="s">
        <v>33</v>
      </c>
      <c r="H33" s="39"/>
      <c r="I33" s="39"/>
      <c r="J33" s="39"/>
      <c r="K33" s="39"/>
      <c r="L33" s="39">
        <f ca="1">SUM(L29:L31)</f>
        <v>0</v>
      </c>
      <c r="M33" s="39">
        <f>SUM(M29:M31)</f>
        <v>0</v>
      </c>
      <c r="N33" s="41"/>
    </row>
    <row r="34" spans="2:32" x14ac:dyDescent="0.25">
      <c r="E34" s="1"/>
      <c r="F34" s="22"/>
      <c r="G34" s="1"/>
      <c r="H34" s="34"/>
      <c r="I34" s="34"/>
      <c r="J34" s="34"/>
      <c r="K34" s="34"/>
      <c r="L34" s="34"/>
      <c r="M34" s="34"/>
    </row>
    <row r="35" spans="2:32" x14ac:dyDescent="0.25">
      <c r="B35" s="79" t="s">
        <v>180</v>
      </c>
      <c r="C35" s="77"/>
      <c r="D35" s="77"/>
      <c r="E35" s="77"/>
      <c r="F35" s="77"/>
      <c r="G35" s="77"/>
      <c r="H35" s="77"/>
      <c r="I35" s="77"/>
      <c r="J35" s="77"/>
      <c r="K35" s="81"/>
      <c r="L35" s="34"/>
      <c r="M35" s="34"/>
      <c r="W35" s="85" t="s">
        <v>162</v>
      </c>
      <c r="X35" s="75"/>
      <c r="Y35" s="76"/>
      <c r="AA35" s="85" t="s">
        <v>163</v>
      </c>
      <c r="AB35" s="75"/>
      <c r="AC35" s="76"/>
      <c r="AD35" s="85" t="s">
        <v>164</v>
      </c>
      <c r="AE35" s="75"/>
      <c r="AF35" s="76"/>
    </row>
    <row r="36" spans="2:32" x14ac:dyDescent="0.25">
      <c r="B36" s="4" t="s">
        <v>165</v>
      </c>
      <c r="C36" s="69" t="s">
        <v>42</v>
      </c>
      <c r="D36" s="4" t="s">
        <v>167</v>
      </c>
      <c r="E36" s="4" t="s">
        <v>30</v>
      </c>
      <c r="F36" s="4" t="s">
        <v>31</v>
      </c>
      <c r="G36" s="4" t="s">
        <v>24</v>
      </c>
      <c r="H36" s="4" t="s">
        <v>32</v>
      </c>
      <c r="I36" s="4" t="s">
        <v>25</v>
      </c>
      <c r="J36" s="4" t="s">
        <v>33</v>
      </c>
      <c r="K36" s="15" t="str">
        <f>IF($D$4="Yes","RC Contribution","N/A")</f>
        <v>N/A</v>
      </c>
      <c r="L36" s="34"/>
      <c r="M36" s="34"/>
      <c r="N36" s="34"/>
      <c r="U36" s="12" t="s">
        <v>25</v>
      </c>
      <c r="W36" s="36" t="s">
        <v>162</v>
      </c>
      <c r="X36" s="36" t="s">
        <v>171</v>
      </c>
      <c r="Y36" s="36" t="s">
        <v>172</v>
      </c>
      <c r="Z36" s="36" t="s">
        <v>42</v>
      </c>
      <c r="AA36" s="12" t="s">
        <v>163</v>
      </c>
      <c r="AB36" s="12" t="s">
        <v>173</v>
      </c>
      <c r="AC36" s="12" t="s">
        <v>174</v>
      </c>
      <c r="AD36" s="45" t="s">
        <v>175</v>
      </c>
      <c r="AE36" s="45" t="s">
        <v>176</v>
      </c>
      <c r="AF36" s="45" t="s">
        <v>177</v>
      </c>
    </row>
    <row r="37" spans="2:32" x14ac:dyDescent="0.25">
      <c r="B37" s="16"/>
      <c r="C37" s="70"/>
      <c r="D37" s="16"/>
      <c r="E37" s="36" t="str" cm="1">
        <f t="array" ref="E37">IFERROR(_xlfn.IFS(B37=Lists!$AI$3,Lists!$C$3,B37=Lists!$AI$4,Lists!$C$4,B37=Lists!$AI$5,Lists!$C$5,B37=Lists!$AI$6,Lists!$C$4,B37=Lists!$AI$7,Lists!$C$6,B37=Lists!$AI$8,Lists!$C$7),"")</f>
        <v/>
      </c>
      <c r="F37" s="36" t="str" cm="1">
        <f t="array" ref="F37">IFERROR(_xlfn.IFS(B37=Lists!$AI$3,Lists!$G$7,B37=Lists!$AI$4,Lists!$I$7,B37=Lists!$AI$5,Lists!$K$10,B37=Lists!$AI$6,Lists!$I$7,B37=Lists!$AI$7,Lists!$M$7,B37=Lists!$AI$8,Lists!$O$5),"")</f>
        <v/>
      </c>
      <c r="G37" s="38" t="str">
        <f>IFERROR(C37*D37*AD37,"")</f>
        <v/>
      </c>
      <c r="H37" s="38" t="str">
        <f>IFERROR(C37*D37*AE37,"")</f>
        <v/>
      </c>
      <c r="I37" s="38" t="str">
        <f>IFERROR(IF($D$2=Lists!$U$3,C37*D37*AF37,""),"")</f>
        <v/>
      </c>
      <c r="J37" s="38">
        <f>SUM(G37:I37)</f>
        <v>0</v>
      </c>
      <c r="K37" s="38" t="str">
        <f>IF($D$4="Yes",J37*0.8,"")</f>
        <v/>
      </c>
      <c r="L37" s="34"/>
      <c r="M37" s="34"/>
      <c r="N37" s="34"/>
      <c r="U37" s="13" t="str" cm="1">
        <f t="array" ref="U37">IFERROR(_xlfn.IFS(C37=Lists!$AK$3,VLOOKUP(F37,'Data Verified'!B:L,11,0)*D37*Lists!$AM$3,C37=Lists!$AK$4,VLOOKUP(F37,'Data Verified'!B:L,11,0)*D37*Lists!$AM$4,C37=Lists!$AK$7,VLOOKUP(F37,'Data Verified'!B:L,11,0)*D37*Lists!$AM$7),"")</f>
        <v/>
      </c>
      <c r="W37" s="12" t="e">
        <f>VLOOKUP(F37,'Data Verified'!B:E,2,0)</f>
        <v>#N/A</v>
      </c>
      <c r="X37" s="12" t="e">
        <f>VLOOKUP(F37,'Data Verified'!B:E,3,0)</f>
        <v>#N/A</v>
      </c>
      <c r="Y37" s="12" t="e">
        <f>VLOOKUP(F37,'Data Verified'!B:L,11,0)</f>
        <v>#N/A</v>
      </c>
      <c r="Z37" s="12">
        <f>C37</f>
        <v>0</v>
      </c>
      <c r="AA37" s="12" t="e">
        <f>W37/12</f>
        <v>#N/A</v>
      </c>
      <c r="AB37" s="12" t="e">
        <f t="shared" ref="AB37" si="28">X37/12</f>
        <v>#N/A</v>
      </c>
      <c r="AC37" s="12" t="e">
        <f t="shared" ref="AC37" si="29">Y37/12</f>
        <v>#N/A</v>
      </c>
      <c r="AD37" s="12" t="e" cm="1">
        <f t="array" ref="AD37">_xlfn.IFS(Z37=Lists!$AK$3,AA37*Lists!$AM$3,Z37=Lists!$AK$4,AA37*Lists!$AM$4,Z37=Lists!$AK$5,Costs!AA37*Lists!$AM$5,Costs!Z37=Lists!$AK$6,Costs!AA37*Lists!$AM$6,Costs!Z37=Lists!$AK$7,Costs!AA37*Lists!$AM$7)</f>
        <v>#N/A</v>
      </c>
      <c r="AE37" s="12" t="e" cm="1">
        <f t="array" ref="AE37">_xlfn.IFS(Z37=Lists!$AK$3,AB37*Lists!$AM$3,Z37=Lists!$AK$4,AB37*Lists!$AM$4,Z37=Lists!$AK$5,Costs!AB37*Lists!$AM$5,Costs!Z37=Lists!$AK$6,Costs!AB37*Lists!$AM$6,Costs!Z37=Lists!$AK$7,Costs!AB37*Lists!$AM$7)</f>
        <v>#N/A</v>
      </c>
      <c r="AF37" s="12" t="e" cm="1">
        <f t="array" ref="AF37">_xlfn.IFS(Z37=Lists!$AK$3,AC37*Lists!$AM$3,Z37=Lists!$AK$4,AC37*Lists!$AM$4,Z37=Lists!$AK$5,Costs!AC37*Lists!$AM$5,Costs!Z37=Lists!$AK$6,Costs!AC37*Lists!$AM$6,Costs!Z37=Lists!$AK$7,Costs!AC37*Lists!$AM$7)</f>
        <v>#N/A</v>
      </c>
    </row>
    <row r="38" spans="2:32" x14ac:dyDescent="0.25">
      <c r="B38" s="16"/>
      <c r="C38" s="70"/>
      <c r="D38" s="16"/>
      <c r="E38" s="36" t="str" cm="1">
        <f t="array" ref="E38">IFERROR(_xlfn.IFS(B38=Lists!$AI$3,Lists!$C$3,B38=Lists!$AI$4,Lists!$C$4,B38=Lists!$AI$5,Lists!$C$5,B38=Lists!$AI$6,Lists!$C$4,B38=Lists!$AI$7,Lists!$C$6,B38=Lists!$AI$8,Lists!$C$7),"")</f>
        <v/>
      </c>
      <c r="F38" s="36" t="str" cm="1">
        <f t="array" ref="F38">IFERROR(_xlfn.IFS(B38=Lists!$AI$3,Lists!$G$7,B38=Lists!$AI$4,Lists!$I$7,B38=Lists!$AI$5,Lists!$K$10,B38=Lists!$AI$6,Lists!$I$7,B38=Lists!$AI$7,Lists!$M$7,B38=Lists!$AI$8,Lists!$O$5),"")</f>
        <v/>
      </c>
      <c r="G38" s="38" t="str">
        <f t="shared" ref="G38:G40" si="30">IFERROR(C38*D38*AD38,"")</f>
        <v/>
      </c>
      <c r="H38" s="38" t="str">
        <f t="shared" ref="H38:H40" si="31">IFERROR(C38*D38*AE38,"")</f>
        <v/>
      </c>
      <c r="I38" s="38" t="str">
        <f>IFERROR(IF($D$2=Lists!$U$3,C38*D38*AF38,""),"")</f>
        <v/>
      </c>
      <c r="J38" s="38">
        <f>SUM(G38:I38)</f>
        <v>0</v>
      </c>
      <c r="K38" s="38" t="str">
        <f t="shared" ref="K38:K40" si="32">IF($D$4="Yes",J38*0.8,"")</f>
        <v/>
      </c>
      <c r="L38" s="34"/>
      <c r="M38" s="34"/>
      <c r="N38" s="34"/>
      <c r="U38" s="13" t="str" cm="1">
        <f t="array" ref="U38">IFERROR(_xlfn.IFS(C38=Lists!$AK$3,VLOOKUP(F38,'Data Verified'!B:L,11,0)*D38*Lists!$AM$3,C38=Lists!$AK$4,VLOOKUP(F38,'Data Verified'!B:L,11,0)*D38*Lists!$AM$4,C38=Lists!$AK$7,VLOOKUP(F38,'Data Verified'!B:L,11,0)*D38*Lists!$AM$7),"")</f>
        <v/>
      </c>
      <c r="W38" s="12" t="e">
        <f>VLOOKUP(F38,'Data Verified'!B:E,2,0)</f>
        <v>#N/A</v>
      </c>
      <c r="X38" s="12" t="e">
        <f>VLOOKUP(F38,'Data Verified'!B:E,3,0)</f>
        <v>#N/A</v>
      </c>
      <c r="Y38" s="12" t="e">
        <f>VLOOKUP(F38,'Data Verified'!B:L,11,0)</f>
        <v>#N/A</v>
      </c>
      <c r="Z38" s="12">
        <f t="shared" ref="Z38:Z39" si="33">C38</f>
        <v>0</v>
      </c>
      <c r="AA38" s="12" t="e">
        <f t="shared" ref="AA38:AA39" si="34">W38/12</f>
        <v>#N/A</v>
      </c>
      <c r="AB38" s="12" t="e">
        <f t="shared" ref="AB38:AB39" si="35">X38/12</f>
        <v>#N/A</v>
      </c>
      <c r="AC38" s="12" t="e">
        <f t="shared" ref="AC38:AC39" si="36">Y38/12</f>
        <v>#N/A</v>
      </c>
      <c r="AD38" s="12" t="e" cm="1">
        <f t="array" ref="AD38">_xlfn.IFS(Z38=Lists!$AK$3,AA38*Lists!$AM$3,Z38=Lists!$AK$4,AA38*Lists!$AM$4,Z38=Lists!$AK$5,Costs!AA38*Lists!$AM$5,Costs!Z38=Lists!$AK$6,Costs!AA38*Lists!$AM$6,Costs!Z38=Lists!$AK$7,Costs!AA38*Lists!$AM$7)</f>
        <v>#N/A</v>
      </c>
      <c r="AE38" s="12" t="e" cm="1">
        <f t="array" ref="AE38">_xlfn.IFS(Z38=Lists!$AK$3,AB38*Lists!$AM$3,Z38=Lists!$AK$4,AB38*Lists!$AM$4,Z38=Lists!$AK$5,Costs!AB38*Lists!$AM$5,Costs!Z38=Lists!$AK$6,Costs!AB38*Lists!$AM$6,Costs!Z38=Lists!$AK$7,Costs!AB38*Lists!$AM$7)</f>
        <v>#N/A</v>
      </c>
      <c r="AF38" s="12" t="e" cm="1">
        <f t="array" ref="AF38">_xlfn.IFS(Z38=Lists!$AK$3,AC38*Lists!$AM$3,Z38=Lists!$AK$4,AC38*Lists!$AM$4,Z38=Lists!$AK$5,Costs!AC38*Lists!$AM$5,Costs!Z38=Lists!$AK$6,Costs!AC38*Lists!$AM$6,Costs!Z38=Lists!$AK$7,Costs!AC38*Lists!$AM$7)</f>
        <v>#N/A</v>
      </c>
    </row>
    <row r="39" spans="2:32" x14ac:dyDescent="0.25">
      <c r="B39" s="16"/>
      <c r="C39" s="70"/>
      <c r="D39" s="16"/>
      <c r="E39" s="36" t="str" cm="1">
        <f t="array" ref="E39">IFERROR(_xlfn.IFS(B39=Lists!$AI$3,Lists!$C$3,B39=Lists!$AI$4,Lists!$C$4,B39=Lists!$AI$5,Lists!$C$5,B39=Lists!$AI$6,Lists!$C$4,B39=Lists!$AI$7,Lists!$C$6,B39=Lists!$AI$8,Lists!$C$7),"")</f>
        <v/>
      </c>
      <c r="F39" s="36" t="str" cm="1">
        <f t="array" ref="F39">IFERROR(_xlfn.IFS(B39=Lists!$AI$3,Lists!$G$7,B39=Lists!$AI$4,Lists!$I$7,B39=Lists!$AI$5,Lists!$K$10,B39=Lists!$AI$6,Lists!$I$7,B39=Lists!$AI$7,Lists!$M$7,B39=Lists!$AI$8,Lists!$O$5),"")</f>
        <v/>
      </c>
      <c r="G39" s="38" t="str">
        <f t="shared" si="30"/>
        <v/>
      </c>
      <c r="H39" s="38" t="str">
        <f t="shared" si="31"/>
        <v/>
      </c>
      <c r="I39" s="38" t="str">
        <f>IFERROR(IF($D$2=Lists!$U$3,C39*D39*AF39,""),"")</f>
        <v/>
      </c>
      <c r="J39" s="38">
        <f>SUM(G39:I39)</f>
        <v>0</v>
      </c>
      <c r="K39" s="38" t="str">
        <f t="shared" si="32"/>
        <v/>
      </c>
      <c r="L39" s="34"/>
      <c r="M39" s="34"/>
      <c r="N39" s="34"/>
      <c r="U39" s="13" t="str" cm="1">
        <f t="array" ref="U39">IFERROR(_xlfn.IFS(C39=Lists!$AK$3,VLOOKUP(F39,'Data Verified'!B:L,11,0)*D39*Lists!$AM$3,C39=Lists!$AK$4,VLOOKUP(F39,'Data Verified'!B:L,11,0)*D39*Lists!$AM$4,C39=Lists!$AK$7,VLOOKUP(F39,'Data Verified'!B:L,11,0)*D39*Lists!$AM$7),"")</f>
        <v/>
      </c>
      <c r="W39" s="12" t="e">
        <f>VLOOKUP(F39,'Data Verified'!B:E,2,0)</f>
        <v>#N/A</v>
      </c>
      <c r="X39" s="12" t="e">
        <f>VLOOKUP(F39,'Data Verified'!B:E,3,0)</f>
        <v>#N/A</v>
      </c>
      <c r="Y39" s="12" t="e">
        <f>VLOOKUP(F39,'Data Verified'!B:L,11,0)</f>
        <v>#N/A</v>
      </c>
      <c r="Z39" s="12">
        <f t="shared" si="33"/>
        <v>0</v>
      </c>
      <c r="AA39" s="12" t="e">
        <f t="shared" si="34"/>
        <v>#N/A</v>
      </c>
      <c r="AB39" s="12" t="e">
        <f t="shared" si="35"/>
        <v>#N/A</v>
      </c>
      <c r="AC39" s="12" t="e">
        <f t="shared" si="36"/>
        <v>#N/A</v>
      </c>
      <c r="AD39" s="12" t="e" cm="1">
        <f t="array" ref="AD39">_xlfn.IFS(Z39=Lists!$AK$3,AA39*Lists!$AM$3,Z39=Lists!$AK$4,AA39*Lists!$AM$4,Z39=Lists!$AK$5,Costs!AA39*Lists!$AM$5,Costs!Z39=Lists!$AK$6,Costs!AA39*Lists!$AM$6,Costs!Z39=Lists!$AK$7,Costs!AA39*Lists!$AM$7)</f>
        <v>#N/A</v>
      </c>
      <c r="AE39" s="12" t="e" cm="1">
        <f t="array" ref="AE39">_xlfn.IFS(Z39=Lists!$AK$3,AB39*Lists!$AM$3,Z39=Lists!$AK$4,AB39*Lists!$AM$4,Z39=Lists!$AK$5,Costs!AB39*Lists!$AM$5,Costs!Z39=Lists!$AK$6,Costs!AB39*Lists!$AM$6,Costs!Z39=Lists!$AK$7,Costs!AB39*Lists!$AM$7)</f>
        <v>#N/A</v>
      </c>
      <c r="AF39" s="12" t="e" cm="1">
        <f t="array" ref="AF39">_xlfn.IFS(Z39=Lists!$AK$3,AC39*Lists!$AM$3,Z39=Lists!$AK$4,AC39*Lists!$AM$4,Z39=Lists!$AK$5,Costs!AC39*Lists!$AM$5,Costs!Z39=Lists!$AK$6,Costs!AC39*Lists!$AM$6,Costs!Z39=Lists!$AK$7,Costs!AC39*Lists!$AM$7)</f>
        <v>#N/A</v>
      </c>
    </row>
    <row r="40" spans="2:32" x14ac:dyDescent="0.25">
      <c r="B40" s="16"/>
      <c r="C40" s="70"/>
      <c r="D40" s="16"/>
      <c r="E40" s="36" t="str" cm="1">
        <f t="array" ref="E40">IFERROR(_xlfn.IFS(B40=Lists!$AI$3,Lists!$C$3,B40=Lists!$AI$4,Lists!$C$4,B40=Lists!$AI$5,Lists!$C$5,B40=Lists!$AI$6,Lists!$C$4,B40=Lists!$AI$7,Lists!$C$6,B40=Lists!$AI$8,Lists!$C$7),"")</f>
        <v/>
      </c>
      <c r="F40" s="36" t="str" cm="1">
        <f t="array" ref="F40">IFERROR(_xlfn.IFS(B40=Lists!$AI$3,Lists!$G$7,B40=Lists!$AI$4,Lists!$I$7,B40=Lists!$AI$5,Lists!$K$10,B40=Lists!$AI$6,Lists!$I$7,B40=Lists!$AI$7,Lists!$M$7,B40=Lists!$AI$8,Lists!$O$5),"")</f>
        <v/>
      </c>
      <c r="G40" s="38" t="str">
        <f t="shared" si="30"/>
        <v/>
      </c>
      <c r="H40" s="38" t="str">
        <f t="shared" si="31"/>
        <v/>
      </c>
      <c r="I40" s="38" t="str">
        <f>IFERROR(IF($D$2=Lists!$U$3,C40*D40*AF40,""),"")</f>
        <v/>
      </c>
      <c r="J40" s="38">
        <f>SUM(G40:I40)</f>
        <v>0</v>
      </c>
      <c r="K40" s="38" t="str">
        <f t="shared" si="32"/>
        <v/>
      </c>
      <c r="L40" s="34"/>
      <c r="M40" s="34"/>
      <c r="N40" s="34"/>
      <c r="U40" s="13" t="str" cm="1">
        <f t="array" ref="U40">IFERROR(_xlfn.IFS(C40=Lists!$AK$3,VLOOKUP(F40,'Data Verified'!B:L,11,0)*D40*Lists!$AM$3,C40=Lists!$AK$4,VLOOKUP(F40,'Data Verified'!B:L,11,0)*D40*Lists!$AM$4,C40=Lists!$AK$7,VLOOKUP(F40,'Data Verified'!B:L,11,0)*D40*Lists!$AM$7),"")</f>
        <v/>
      </c>
      <c r="W40" s="12" t="e">
        <f>VLOOKUP(F40,'Data Verified'!B:E,2,0)</f>
        <v>#N/A</v>
      </c>
      <c r="X40" s="12" t="e">
        <f>VLOOKUP(F40,'Data Verified'!B:E,3,0)</f>
        <v>#N/A</v>
      </c>
      <c r="Y40" s="12" t="e">
        <f>VLOOKUP(F40,'Data Verified'!B:L,11,0)</f>
        <v>#N/A</v>
      </c>
      <c r="Z40" s="12">
        <f t="shared" ref="Z40" si="37">C40</f>
        <v>0</v>
      </c>
      <c r="AA40" s="12" t="e">
        <f t="shared" ref="AA40" si="38">W40/12</f>
        <v>#N/A</v>
      </c>
      <c r="AB40" s="12" t="e">
        <f t="shared" ref="AB40" si="39">X40/12</f>
        <v>#N/A</v>
      </c>
      <c r="AC40" s="12" t="e">
        <f t="shared" ref="AC40" si="40">Y40/12</f>
        <v>#N/A</v>
      </c>
      <c r="AD40" s="12" t="e" cm="1">
        <f t="array" ref="AD40">_xlfn.IFS(Z40=Lists!$AK$3,AA40*Lists!$AM$3,Z40=Lists!$AK$4,AA40*Lists!$AM$4,Z40=Lists!$AK$5,Costs!AA40*Lists!$AM$5,Costs!Z40=Lists!$AK$6,Costs!AA40*Lists!$AM$6,Costs!Z40=Lists!$AK$7,Costs!AA40*Lists!$AM$7)</f>
        <v>#N/A</v>
      </c>
      <c r="AE40" s="12" t="e" cm="1">
        <f t="array" ref="AE40">_xlfn.IFS(Z40=Lists!$AK$3,AB40*Lists!$AM$3,Z40=Lists!$AK$4,AB40*Lists!$AM$4,Z40=Lists!$AK$5,Costs!AB40*Lists!$AM$5,Costs!Z40=Lists!$AK$6,Costs!AB40*Lists!$AM$6,Costs!Z40=Lists!$AK$7,Costs!AB40*Lists!$AM$7)</f>
        <v>#N/A</v>
      </c>
      <c r="AF40" s="12" t="e" cm="1">
        <f t="array" ref="AF40">_xlfn.IFS(Z40=Lists!$AK$3,AC40*Lists!$AM$3,Z40=Lists!$AK$4,AC40*Lists!$AM$4,Z40=Lists!$AK$5,Costs!AC40*Lists!$AM$5,Costs!Z40=Lists!$AK$6,Costs!AC40*Lists!$AM$6,Costs!Z40=Lists!$AK$7,Costs!AC40*Lists!$AM$7)</f>
        <v>#N/A</v>
      </c>
    </row>
    <row r="41" spans="2:32" ht="3" customHeight="1" thickBot="1" x14ac:dyDescent="0.3">
      <c r="B41" s="1"/>
      <c r="C41" s="1"/>
      <c r="D41" s="1"/>
      <c r="E41" s="1"/>
      <c r="F41" s="1"/>
      <c r="G41" s="14"/>
      <c r="H41" s="14"/>
      <c r="I41" s="14"/>
      <c r="J41" s="14"/>
      <c r="K41" s="14"/>
      <c r="L41" s="34"/>
      <c r="M41" s="34"/>
      <c r="N41" s="34"/>
    </row>
    <row r="42" spans="2:32" ht="15.75" thickTop="1" x14ac:dyDescent="0.25">
      <c r="B42" s="1"/>
      <c r="C42" s="1"/>
      <c r="D42" s="1"/>
      <c r="E42" s="1" t="s">
        <v>33</v>
      </c>
      <c r="F42" s="1"/>
      <c r="G42" s="39">
        <f>SUM(G37:G40)</f>
        <v>0</v>
      </c>
      <c r="H42" s="39">
        <f t="shared" ref="H42:K42" si="41">SUM(H37:H40)</f>
        <v>0</v>
      </c>
      <c r="I42" s="39">
        <f t="shared" si="41"/>
        <v>0</v>
      </c>
      <c r="J42" s="39">
        <f t="shared" si="41"/>
        <v>0</v>
      </c>
      <c r="K42" s="39">
        <f t="shared" si="41"/>
        <v>0</v>
      </c>
      <c r="L42" s="34"/>
      <c r="M42" s="34"/>
      <c r="N42" s="34"/>
    </row>
    <row r="43" spans="2:32" ht="7.5" customHeight="1" x14ac:dyDescent="0.25">
      <c r="E43" s="1"/>
      <c r="F43" s="22"/>
      <c r="G43" s="1"/>
      <c r="H43" s="34"/>
      <c r="I43" s="34"/>
      <c r="J43" s="34"/>
      <c r="K43" s="34"/>
      <c r="L43" s="34"/>
      <c r="M43" s="34"/>
    </row>
    <row r="44" spans="2:32" x14ac:dyDescent="0.25">
      <c r="B44" s="74" t="s">
        <v>181</v>
      </c>
      <c r="C44" s="82"/>
      <c r="D44" s="82"/>
      <c r="E44" s="82"/>
      <c r="F44" s="82"/>
      <c r="G44" s="82"/>
      <c r="H44" s="82"/>
      <c r="I44" s="82"/>
      <c r="J44" s="83"/>
    </row>
    <row r="45" spans="2:32" x14ac:dyDescent="0.25">
      <c r="B45" s="4" t="s">
        <v>182</v>
      </c>
      <c r="C45" s="74" t="s">
        <v>183</v>
      </c>
      <c r="D45" s="75"/>
      <c r="E45" s="75"/>
      <c r="F45" s="76"/>
      <c r="G45" s="4" t="s">
        <v>184</v>
      </c>
      <c r="H45" s="4" t="s">
        <v>185</v>
      </c>
      <c r="I45" s="11" t="s">
        <v>33</v>
      </c>
      <c r="J45" s="15" t="str">
        <f>IF($D$4="Yes","RC Contribution","N/A")</f>
        <v>N/A</v>
      </c>
    </row>
    <row r="46" spans="2:32" x14ac:dyDescent="0.25">
      <c r="B46" s="16"/>
      <c r="C46" s="93"/>
      <c r="D46" s="94"/>
      <c r="E46" s="94"/>
      <c r="F46" s="95"/>
      <c r="G46" s="37"/>
      <c r="H46" s="23"/>
      <c r="I46" s="31">
        <f>IFERROR(H46*G46,"")</f>
        <v>0</v>
      </c>
      <c r="J46" s="31">
        <f>IFERROR(IF(B46="Equipment",I46*0.5,I46*0.8),"")</f>
        <v>0</v>
      </c>
    </row>
    <row r="47" spans="2:32" x14ac:dyDescent="0.25">
      <c r="B47" s="16"/>
      <c r="C47" s="93"/>
      <c r="D47" s="94"/>
      <c r="E47" s="94"/>
      <c r="F47" s="95"/>
      <c r="G47" s="37"/>
      <c r="H47" s="23"/>
      <c r="I47" s="31">
        <f t="shared" ref="I47:I51" si="42">IFERROR(H47*G47,"")</f>
        <v>0</v>
      </c>
      <c r="J47" s="31">
        <f t="shared" ref="J47:J51" si="43">IFERROR(IF(B47="Equipment",I47*0.5,I47*0.8),"")</f>
        <v>0</v>
      </c>
    </row>
    <row r="48" spans="2:32" x14ac:dyDescent="0.25">
      <c r="B48" s="16"/>
      <c r="C48" s="93"/>
      <c r="D48" s="94"/>
      <c r="E48" s="94"/>
      <c r="F48" s="95"/>
      <c r="G48" s="37"/>
      <c r="H48" s="23"/>
      <c r="I48" s="31">
        <f t="shared" si="42"/>
        <v>0</v>
      </c>
      <c r="J48" s="31">
        <f t="shared" si="43"/>
        <v>0</v>
      </c>
    </row>
    <row r="49" spans="2:10" x14ac:dyDescent="0.25">
      <c r="B49" s="16"/>
      <c r="C49" s="93"/>
      <c r="D49" s="94"/>
      <c r="E49" s="94"/>
      <c r="F49" s="95"/>
      <c r="G49" s="37"/>
      <c r="H49" s="23"/>
      <c r="I49" s="31">
        <f t="shared" si="42"/>
        <v>0</v>
      </c>
      <c r="J49" s="31">
        <f t="shared" si="43"/>
        <v>0</v>
      </c>
    </row>
    <row r="50" spans="2:10" x14ac:dyDescent="0.25">
      <c r="B50" s="16"/>
      <c r="C50" s="93"/>
      <c r="D50" s="94"/>
      <c r="E50" s="94"/>
      <c r="F50" s="95"/>
      <c r="G50" s="37"/>
      <c r="H50" s="23"/>
      <c r="I50" s="31">
        <f t="shared" si="42"/>
        <v>0</v>
      </c>
      <c r="J50" s="31">
        <f t="shared" si="43"/>
        <v>0</v>
      </c>
    </row>
    <row r="51" spans="2:10" x14ac:dyDescent="0.25">
      <c r="B51" s="16"/>
      <c r="C51" s="93"/>
      <c r="D51" s="94"/>
      <c r="E51" s="94"/>
      <c r="F51" s="95"/>
      <c r="G51" s="37"/>
      <c r="H51" s="23"/>
      <c r="I51" s="31">
        <f t="shared" si="42"/>
        <v>0</v>
      </c>
      <c r="J51" s="31">
        <f t="shared" si="43"/>
        <v>0</v>
      </c>
    </row>
    <row r="52" spans="2:10" ht="3" customHeight="1" thickBot="1" x14ac:dyDescent="0.3"/>
    <row r="53" spans="2:10" ht="15.75" thickTop="1" x14ac:dyDescent="0.25">
      <c r="G53" s="22" t="s">
        <v>33</v>
      </c>
      <c r="I53" s="39">
        <f>SUM(I46:I51)</f>
        <v>0</v>
      </c>
      <c r="J53" s="39">
        <f t="shared" ref="J53" si="44">SUM(J46:J51)</f>
        <v>0</v>
      </c>
    </row>
    <row r="54" spans="2:10" ht="15.75" thickBot="1" x14ac:dyDescent="0.3"/>
    <row r="55" spans="2:10" ht="15.75" thickTop="1" x14ac:dyDescent="0.25">
      <c r="B55" s="1"/>
      <c r="G55" s="1" t="s">
        <v>186</v>
      </c>
      <c r="I55" s="10">
        <f ca="1">M16+M25+L33+J42+I53</f>
        <v>120125.5302978309</v>
      </c>
      <c r="J55" s="51">
        <f>N16+N25+M33+K42+J53</f>
        <v>0</v>
      </c>
    </row>
  </sheetData>
  <sheetProtection algorithmName="SHA-512" hashValue="Go22nuqRS2BfzniV0zm2DsQ8nuis5v3Ldlf3gHP2GpZap0IkFhspbq1LmNcqMnMqOCq7mZeyADm0s8pBGsecCg==" saltValue="cLOHtlQQ/GDYCSmgzntsKg==" spinCount="100000" sheet="1" objects="1" scenarios="1"/>
  <mergeCells count="42">
    <mergeCell ref="W9:Y9"/>
    <mergeCell ref="AA9:AC9"/>
    <mergeCell ref="AD9:AF9"/>
    <mergeCell ref="W18:Y18"/>
    <mergeCell ref="AA18:AC18"/>
    <mergeCell ref="AD18:AF18"/>
    <mergeCell ref="C51:F51"/>
    <mergeCell ref="B44:J44"/>
    <mergeCell ref="C45:F45"/>
    <mergeCell ref="C46:F46"/>
    <mergeCell ref="C47:F47"/>
    <mergeCell ref="C48:F48"/>
    <mergeCell ref="C49:F49"/>
    <mergeCell ref="C50:F50"/>
    <mergeCell ref="B18:N18"/>
    <mergeCell ref="C12:D12"/>
    <mergeCell ref="C19:D19"/>
    <mergeCell ref="C31:D31"/>
    <mergeCell ref="B27:M27"/>
    <mergeCell ref="F2:N4"/>
    <mergeCell ref="C13:D13"/>
    <mergeCell ref="C14:D14"/>
    <mergeCell ref="B6:C6"/>
    <mergeCell ref="B2:C2"/>
    <mergeCell ref="B4:C4"/>
    <mergeCell ref="C10:D10"/>
    <mergeCell ref="C11:D11"/>
    <mergeCell ref="B9:N9"/>
    <mergeCell ref="W35:Y35"/>
    <mergeCell ref="AA35:AC35"/>
    <mergeCell ref="AD35:AF35"/>
    <mergeCell ref="C20:D20"/>
    <mergeCell ref="C28:D28"/>
    <mergeCell ref="C29:D29"/>
    <mergeCell ref="C30:D30"/>
    <mergeCell ref="C21:D21"/>
    <mergeCell ref="C22:D22"/>
    <mergeCell ref="B35:K35"/>
    <mergeCell ref="C23:D23"/>
    <mergeCell ref="W27:Y27"/>
    <mergeCell ref="AA27:AC27"/>
    <mergeCell ref="AD27:AF27"/>
  </mergeCells>
  <dataValidations count="11">
    <dataValidation type="list" allowBlank="1" showInputMessage="1" showErrorMessage="1" sqref="F20:F23 D37:D42 F11:F14 F29:F32" xr:uid="{E551A99A-1ACE-4556-9D92-895413553235}">
      <formula1>FTE</formula1>
    </dataValidation>
    <dataValidation type="list" allowBlank="1" showInputMessage="1" showErrorMessage="1" sqref="D2:D7" xr:uid="{29F8F5DB-6088-4733-AB1B-15DA00F9FFF9}">
      <formula1>YesNo</formula1>
    </dataValidation>
    <dataValidation type="list" allowBlank="1" showInputMessage="1" showErrorMessage="1" sqref="E41" xr:uid="{AD751AE6-9A36-45EC-905F-3C2669351C97}">
      <formula1>Grade_Support</formula1>
    </dataValidation>
    <dataValidation type="list" allowBlank="1" showInputMessage="1" showErrorMessage="1" sqref="B46:B51" xr:uid="{94997C11-E0CE-468A-8BA9-4D2BBADC9209}">
      <formula1>Item</formula1>
    </dataValidation>
    <dataValidation type="list" allowBlank="1" showInputMessage="1" showErrorMessage="1" sqref="H46:H51" xr:uid="{E7496F73-8424-4BCA-9633-DB0D7ABEA047}">
      <formula1>Units</formula1>
    </dataValidation>
    <dataValidation type="list" allowBlank="1" showInputMessage="1" showErrorMessage="1" sqref="D21:D22 C11:C14 D12 D14 C20:C23 C29:C32" xr:uid="{63131748-057A-487B-A077-E5699120977A}">
      <formula1>Dept</formula1>
    </dataValidation>
    <dataValidation type="list" allowBlank="1" showInputMessage="1" showErrorMessage="1" sqref="B11:B14" xr:uid="{9F01C0D5-6C9C-4DCA-A8C1-EF186773CA03}">
      <formula1>Role</formula1>
    </dataValidation>
    <dataValidation type="list" allowBlank="1" showInputMessage="1" showErrorMessage="1" sqref="B37:B42" xr:uid="{09A6C5F3-3860-4BE5-84D0-778635AA6627}">
      <formula1>Support</formula1>
    </dataValidation>
    <dataValidation type="list" allowBlank="1" showInputMessage="1" showErrorMessage="1" sqref="E11:E14 E20:E23 C37:D42 E29:E32" xr:uid="{F8BDD4A7-CC4E-47C9-8AAB-950FA04E454C}">
      <formula1>Duration</formula1>
    </dataValidation>
    <dataValidation type="decimal" allowBlank="1" showInputMessage="1" showErrorMessage="1" sqref="G46:G51" xr:uid="{39683A69-5B16-4864-A8D9-84B7D159ADE0}">
      <formula1>0</formula1>
      <formula2>10000000</formula2>
    </dataValidation>
    <dataValidation type="list" allowBlank="1" showInputMessage="1" showErrorMessage="1" sqref="G29:G31" xr:uid="{98438FAA-A875-4310-BBF6-8DAC463AE625}">
      <formula1>Professorial</formula1>
    </dataValidation>
  </dataValidations>
  <pageMargins left="0.7" right="0.7" top="0.75" bottom="0.75" header="0.3" footer="0.3"/>
  <pageSetup paperSize="9" orientation="portrait" r:id="rId1"/>
  <ignoredErrors>
    <ignoredError sqref="E37:E40 F37:F40 H11:H14 G20:H20 G22:H23 H2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63BD8E-C0E7-4316-9327-92B958C33CC8}">
          <x14:formula1>
            <xm:f>Lists!$AG$5</xm:f>
          </x14:formula1>
          <xm:sqref>B29:B31</xm:sqref>
        </x14:dataValidation>
        <x14:dataValidation type="list" allowBlank="1" showInputMessage="1" showErrorMessage="1" xr:uid="{796CE251-F4FB-4D68-88AB-7F7818662D30}">
          <x14:formula1>
            <xm:f>Lists!$AG$3:$AG$4</xm:f>
          </x14:formula1>
          <xm:sqref>B20:B23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4EF1-4828-4CDC-A4C9-EC80EE7FDA54}">
  <sheetPr codeName="Sheet5"/>
  <dimension ref="A2:AQ27"/>
  <sheetViews>
    <sheetView showGridLines="0" workbookViewId="0">
      <selection activeCell="J21" sqref="J21"/>
    </sheetView>
  </sheetViews>
  <sheetFormatPr defaultColWidth="9.140625" defaultRowHeight="15" x14ac:dyDescent="0.25"/>
  <cols>
    <col min="1" max="1" width="11.5703125" style="2" customWidth="1"/>
    <col min="2" max="2" width="3.7109375" style="2" customWidth="1"/>
    <col min="3" max="3" width="10.7109375" style="2" bestFit="1" customWidth="1"/>
    <col min="4" max="4" width="3.7109375" style="2" customWidth="1"/>
    <col min="5" max="5" width="11.5703125" style="2" customWidth="1"/>
    <col min="6" max="6" width="3.7109375" style="2" customWidth="1"/>
    <col min="7" max="7" width="9.140625" style="2"/>
    <col min="8" max="8" width="3.7109375" style="2" customWidth="1"/>
    <col min="9" max="9" width="9.140625" style="2"/>
    <col min="10" max="10" width="3.7109375" style="2" customWidth="1"/>
    <col min="11" max="11" width="9.140625" style="2"/>
    <col min="12" max="12" width="3.7109375" style="2" customWidth="1"/>
    <col min="13" max="13" width="9.140625" style="2"/>
    <col min="14" max="14" width="3.7109375" style="2" customWidth="1"/>
    <col min="15" max="15" width="9.140625" style="2"/>
    <col min="16" max="16" width="3.7109375" style="2" customWidth="1"/>
    <col min="17" max="17" width="11.5703125" style="2" bestFit="1" customWidth="1"/>
    <col min="18" max="18" width="3.7109375" style="2" customWidth="1"/>
    <col min="19" max="19" width="9.140625" style="2"/>
    <col min="20" max="20" width="3.7109375" style="2" customWidth="1"/>
    <col min="21" max="21" width="9.140625" style="2"/>
    <col min="22" max="22" width="3.7109375" style="2" customWidth="1"/>
    <col min="23" max="23" width="9.140625" style="2"/>
    <col min="24" max="24" width="3.7109375" style="2" customWidth="1"/>
    <col min="25" max="25" width="12.85546875" style="2" bestFit="1" customWidth="1"/>
    <col min="26" max="26" width="3.7109375" style="2" customWidth="1"/>
    <col min="27" max="27" width="9.140625" style="2"/>
    <col min="28" max="28" width="3.7109375" style="2" customWidth="1"/>
    <col min="29" max="29" width="54.140625" style="2" bestFit="1" customWidth="1"/>
    <col min="30" max="30" width="3.7109375" style="2" customWidth="1"/>
    <col min="31" max="31" width="18.140625" style="2" bestFit="1" customWidth="1"/>
    <col min="32" max="32" width="3.7109375" style="2" customWidth="1"/>
    <col min="33" max="33" width="14.5703125" style="2" bestFit="1" customWidth="1"/>
    <col min="34" max="34" width="3.7109375" style="2" customWidth="1"/>
    <col min="35" max="35" width="15.140625" style="2" bestFit="1" customWidth="1"/>
    <col min="36" max="36" width="3.7109375" style="2" customWidth="1"/>
    <col min="37" max="37" width="9.140625" style="2"/>
    <col min="38" max="38" width="3.7109375" style="2" customWidth="1"/>
    <col min="39" max="40" width="9.140625" style="2"/>
    <col min="41" max="41" width="13.140625" style="2" bestFit="1" customWidth="1"/>
    <col min="42" max="16384" width="9.140625" style="2"/>
  </cols>
  <sheetData>
    <row r="2" spans="1:43" x14ac:dyDescent="0.25">
      <c r="A2" s="29" t="s">
        <v>187</v>
      </c>
      <c r="C2" s="29" t="s">
        <v>188</v>
      </c>
      <c r="D2" s="32"/>
      <c r="E2" s="29" t="s">
        <v>189</v>
      </c>
      <c r="F2" s="32"/>
      <c r="G2" s="29" t="s">
        <v>190</v>
      </c>
      <c r="H2" s="1"/>
      <c r="I2" s="29" t="s">
        <v>191</v>
      </c>
      <c r="J2" s="1"/>
      <c r="K2" s="29" t="s">
        <v>192</v>
      </c>
      <c r="L2" s="1"/>
      <c r="M2" s="29" t="s">
        <v>193</v>
      </c>
      <c r="N2" s="1"/>
      <c r="O2" s="29" t="s">
        <v>194</v>
      </c>
      <c r="Q2" s="29" t="s">
        <v>93</v>
      </c>
      <c r="S2" s="4" t="s">
        <v>31</v>
      </c>
      <c r="U2" s="4" t="s">
        <v>195</v>
      </c>
      <c r="W2" s="4" t="s">
        <v>167</v>
      </c>
      <c r="Y2" s="4" t="s">
        <v>182</v>
      </c>
      <c r="AA2" s="4" t="s">
        <v>185</v>
      </c>
      <c r="AC2" s="33" t="s">
        <v>28</v>
      </c>
      <c r="AE2" s="33" t="s">
        <v>165</v>
      </c>
      <c r="AG2" s="33" t="s">
        <v>196</v>
      </c>
      <c r="AI2" s="33" t="s">
        <v>197</v>
      </c>
      <c r="AK2" s="33" t="s">
        <v>198</v>
      </c>
      <c r="AM2" s="33" t="s">
        <v>199</v>
      </c>
      <c r="AO2" s="4"/>
      <c r="AQ2" s="33" t="s">
        <v>200</v>
      </c>
    </row>
    <row r="3" spans="1:43" x14ac:dyDescent="0.25">
      <c r="A3" s="29" t="s">
        <v>193</v>
      </c>
      <c r="C3" s="29" t="s">
        <v>190</v>
      </c>
      <c r="D3" s="32"/>
      <c r="E3" s="29" t="s">
        <v>191</v>
      </c>
      <c r="F3" s="32"/>
      <c r="G3" s="29" t="s">
        <v>41</v>
      </c>
      <c r="I3" s="29" t="s">
        <v>52</v>
      </c>
      <c r="K3" s="29" t="s">
        <v>68</v>
      </c>
      <c r="M3" s="29" t="s">
        <v>80</v>
      </c>
      <c r="O3" s="29" t="s">
        <v>88</v>
      </c>
      <c r="Q3" s="30">
        <v>80000</v>
      </c>
      <c r="S3" s="4" t="s">
        <v>47</v>
      </c>
      <c r="U3" s="4" t="s">
        <v>156</v>
      </c>
      <c r="W3" s="4">
        <v>0.1</v>
      </c>
      <c r="Y3" s="4" t="s">
        <v>201</v>
      </c>
      <c r="AA3" s="4">
        <v>1</v>
      </c>
      <c r="AC3" s="58" t="s">
        <v>105</v>
      </c>
      <c r="AE3" s="33" t="s">
        <v>178</v>
      </c>
      <c r="AG3" s="33" t="s">
        <v>202</v>
      </c>
      <c r="AI3" s="33" t="s">
        <v>203</v>
      </c>
      <c r="AK3" s="33">
        <v>12</v>
      </c>
      <c r="AM3" s="33">
        <v>1</v>
      </c>
      <c r="AO3" s="59"/>
      <c r="AQ3" s="33">
        <v>1</v>
      </c>
    </row>
    <row r="4" spans="1:43" x14ac:dyDescent="0.25">
      <c r="A4" s="29" t="s">
        <v>194</v>
      </c>
      <c r="C4" s="29" t="s">
        <v>191</v>
      </c>
      <c r="D4" s="32"/>
      <c r="E4" s="29" t="s">
        <v>192</v>
      </c>
      <c r="F4" s="32"/>
      <c r="G4" s="29" t="s">
        <v>43</v>
      </c>
      <c r="I4" s="29" t="s">
        <v>54</v>
      </c>
      <c r="K4" s="29" t="s">
        <v>69</v>
      </c>
      <c r="M4" s="29" t="s">
        <v>81</v>
      </c>
      <c r="O4" s="29" t="s">
        <v>89</v>
      </c>
      <c r="Q4" s="30">
        <v>90000</v>
      </c>
      <c r="S4" s="4" t="s">
        <v>48</v>
      </c>
      <c r="U4" s="4" t="s">
        <v>158</v>
      </c>
      <c r="W4" s="4">
        <v>0.2</v>
      </c>
      <c r="Y4" s="4" t="s">
        <v>204</v>
      </c>
      <c r="AA4" s="4">
        <v>2</v>
      </c>
      <c r="AC4" s="58" t="s">
        <v>129</v>
      </c>
      <c r="AE4" s="33" t="s">
        <v>205</v>
      </c>
      <c r="AG4" s="33" t="s">
        <v>206</v>
      </c>
      <c r="AI4" s="33" t="s">
        <v>207</v>
      </c>
      <c r="AK4" s="33">
        <v>18</v>
      </c>
      <c r="AM4" s="33">
        <f>(1+1+1.035)/3</f>
        <v>1.0116666666666667</v>
      </c>
      <c r="AO4" s="60"/>
      <c r="AQ4" s="33">
        <v>1.5</v>
      </c>
    </row>
    <row r="5" spans="1:43" x14ac:dyDescent="0.25">
      <c r="A5" s="29" t="s">
        <v>93</v>
      </c>
      <c r="C5" s="29" t="s">
        <v>192</v>
      </c>
      <c r="D5" s="32"/>
      <c r="F5" s="32"/>
      <c r="G5" s="29" t="s">
        <v>45</v>
      </c>
      <c r="I5" s="29" t="s">
        <v>60</v>
      </c>
      <c r="K5" s="29" t="s">
        <v>71</v>
      </c>
      <c r="M5" s="29" t="s">
        <v>82</v>
      </c>
      <c r="O5" s="29" t="s">
        <v>90</v>
      </c>
      <c r="Q5" s="30">
        <v>100000</v>
      </c>
      <c r="S5" s="4" t="s">
        <v>49</v>
      </c>
      <c r="W5" s="4">
        <v>0.3</v>
      </c>
      <c r="Y5" s="4" t="s">
        <v>208</v>
      </c>
      <c r="AA5" s="4">
        <v>3</v>
      </c>
      <c r="AC5" s="58" t="s">
        <v>107</v>
      </c>
      <c r="AG5" s="33" t="s">
        <v>209</v>
      </c>
      <c r="AI5" s="33" t="s">
        <v>210</v>
      </c>
      <c r="AK5" s="33">
        <v>24</v>
      </c>
      <c r="AM5" s="33">
        <f>(1+1+1.075+1.075)/4</f>
        <v>1.0375000000000001</v>
      </c>
      <c r="AO5" s="59"/>
      <c r="AQ5" s="33">
        <v>2</v>
      </c>
    </row>
    <row r="6" spans="1:43" x14ac:dyDescent="0.25">
      <c r="C6" s="29" t="s">
        <v>193</v>
      </c>
      <c r="D6" s="32"/>
      <c r="F6" s="32"/>
      <c r="G6" s="29" t="s">
        <v>47</v>
      </c>
      <c r="I6" s="4" t="s">
        <v>61</v>
      </c>
      <c r="K6" s="29" t="s">
        <v>72</v>
      </c>
      <c r="M6" s="29" t="s">
        <v>83</v>
      </c>
      <c r="O6" s="29" t="s">
        <v>91</v>
      </c>
      <c r="Q6" s="30">
        <v>110000</v>
      </c>
      <c r="S6" s="4" t="s">
        <v>50</v>
      </c>
      <c r="W6" s="4">
        <v>0.4</v>
      </c>
      <c r="AA6" s="4">
        <v>4</v>
      </c>
      <c r="AC6" s="58" t="s">
        <v>102</v>
      </c>
      <c r="AI6" s="33" t="s">
        <v>211</v>
      </c>
      <c r="AK6" s="33">
        <v>30</v>
      </c>
      <c r="AM6" s="33">
        <f>(1+1+1.075+1.075+1.0525)/5</f>
        <v>1.0405000000000002</v>
      </c>
      <c r="AO6" s="59"/>
      <c r="AQ6" s="33">
        <v>2.5</v>
      </c>
    </row>
    <row r="7" spans="1:43" x14ac:dyDescent="0.25">
      <c r="C7" s="29" t="s">
        <v>194</v>
      </c>
      <c r="D7" s="32"/>
      <c r="F7" s="32"/>
      <c r="G7" s="29" t="s">
        <v>48</v>
      </c>
      <c r="I7" s="4" t="s">
        <v>62</v>
      </c>
      <c r="K7" s="29" t="s">
        <v>73</v>
      </c>
      <c r="M7" s="29" t="s">
        <v>84</v>
      </c>
      <c r="Q7" s="30">
        <v>120000</v>
      </c>
      <c r="S7" s="4" t="s">
        <v>61</v>
      </c>
      <c r="W7" s="4">
        <v>0.5</v>
      </c>
      <c r="AA7" s="4">
        <v>5</v>
      </c>
      <c r="AC7" s="58" t="s">
        <v>109</v>
      </c>
      <c r="AI7" s="33" t="s">
        <v>212</v>
      </c>
      <c r="AK7" s="33">
        <v>36</v>
      </c>
      <c r="AM7" s="33">
        <f>(1+1+1.075+1.075+1.0525+1.0525)/6</f>
        <v>1.0425000000000002</v>
      </c>
      <c r="AO7" s="59"/>
      <c r="AQ7" s="33">
        <v>3</v>
      </c>
    </row>
    <row r="8" spans="1:43" x14ac:dyDescent="0.25">
      <c r="D8" s="32"/>
      <c r="F8" s="32"/>
      <c r="G8" s="29" t="s">
        <v>49</v>
      </c>
      <c r="I8" s="4" t="s">
        <v>64</v>
      </c>
      <c r="K8" s="29" t="s">
        <v>74</v>
      </c>
      <c r="M8" s="29" t="s">
        <v>85</v>
      </c>
      <c r="Q8" s="30">
        <v>130000</v>
      </c>
      <c r="S8" s="4" t="s">
        <v>62</v>
      </c>
      <c r="W8" s="4">
        <v>0.6</v>
      </c>
      <c r="AA8" s="4">
        <v>6</v>
      </c>
      <c r="AC8" s="58" t="s">
        <v>111</v>
      </c>
      <c r="AI8" s="33" t="s">
        <v>213</v>
      </c>
      <c r="AK8" s="22"/>
    </row>
    <row r="9" spans="1:43" x14ac:dyDescent="0.25">
      <c r="G9" s="29" t="s">
        <v>50</v>
      </c>
      <c r="I9" s="4" t="s">
        <v>66</v>
      </c>
      <c r="K9" s="29" t="s">
        <v>75</v>
      </c>
      <c r="M9" s="29" t="s">
        <v>86</v>
      </c>
      <c r="Q9" s="30">
        <v>140000</v>
      </c>
      <c r="S9" s="4" t="s">
        <v>64</v>
      </c>
      <c r="W9" s="4">
        <v>0.7</v>
      </c>
      <c r="AA9" s="4">
        <v>7</v>
      </c>
      <c r="AC9" s="58" t="s">
        <v>115</v>
      </c>
    </row>
    <row r="10" spans="1:43" x14ac:dyDescent="0.25">
      <c r="K10" s="29" t="s">
        <v>76</v>
      </c>
      <c r="Q10" s="30">
        <v>150000</v>
      </c>
      <c r="S10" s="4" t="s">
        <v>66</v>
      </c>
      <c r="W10" s="4">
        <v>0.8</v>
      </c>
      <c r="AA10" s="4">
        <v>8</v>
      </c>
      <c r="AC10" s="58" t="s">
        <v>143</v>
      </c>
    </row>
    <row r="11" spans="1:43" x14ac:dyDescent="0.25">
      <c r="K11" s="29" t="s">
        <v>77</v>
      </c>
      <c r="S11" s="29" t="s">
        <v>72</v>
      </c>
      <c r="W11" s="4">
        <v>0.9</v>
      </c>
      <c r="AA11" s="4">
        <v>9</v>
      </c>
      <c r="AC11" s="58" t="s">
        <v>113</v>
      </c>
    </row>
    <row r="12" spans="1:43" x14ac:dyDescent="0.25">
      <c r="K12" s="29" t="s">
        <v>78</v>
      </c>
      <c r="S12" s="29" t="s">
        <v>73</v>
      </c>
      <c r="W12" s="4">
        <v>1</v>
      </c>
      <c r="AA12" s="4">
        <v>10</v>
      </c>
      <c r="AC12" s="58" t="s">
        <v>117</v>
      </c>
      <c r="AE12" s="33"/>
      <c r="AK12" s="1" t="s">
        <v>214</v>
      </c>
      <c r="AL12" s="1"/>
      <c r="AM12" s="61">
        <v>3.5000000000000003E-2</v>
      </c>
    </row>
    <row r="13" spans="1:43" x14ac:dyDescent="0.25">
      <c r="S13" s="29" t="s">
        <v>74</v>
      </c>
      <c r="AA13" s="4"/>
      <c r="AC13" s="58" t="s">
        <v>121</v>
      </c>
    </row>
    <row r="14" spans="1:43" x14ac:dyDescent="0.25">
      <c r="S14" s="29" t="s">
        <v>75</v>
      </c>
      <c r="AC14" s="58" t="s">
        <v>123</v>
      </c>
    </row>
    <row r="15" spans="1:43" x14ac:dyDescent="0.25">
      <c r="S15" s="29" t="s">
        <v>76</v>
      </c>
      <c r="AC15" s="58" t="s">
        <v>119</v>
      </c>
    </row>
    <row r="16" spans="1:43" x14ac:dyDescent="0.25">
      <c r="S16" s="29" t="s">
        <v>77</v>
      </c>
      <c r="AC16" s="58" t="s">
        <v>125</v>
      </c>
    </row>
    <row r="17" spans="1:35" x14ac:dyDescent="0.25">
      <c r="S17" s="29" t="s">
        <v>78</v>
      </c>
      <c r="AC17" s="58" t="s">
        <v>149</v>
      </c>
    </row>
    <row r="18" spans="1:35" x14ac:dyDescent="0.25">
      <c r="AC18" s="58" t="s">
        <v>133</v>
      </c>
      <c r="AI18" s="46" t="s">
        <v>150</v>
      </c>
    </row>
    <row r="19" spans="1:35" x14ac:dyDescent="0.25">
      <c r="AC19" s="58" t="s">
        <v>131</v>
      </c>
      <c r="AI19" s="46" t="s">
        <v>151</v>
      </c>
    </row>
    <row r="20" spans="1:35" x14ac:dyDescent="0.25">
      <c r="AC20" s="58" t="s">
        <v>135</v>
      </c>
      <c r="AI20" s="46" t="s">
        <v>152</v>
      </c>
    </row>
    <row r="21" spans="1:35" x14ac:dyDescent="0.25">
      <c r="AC21" s="58" t="s">
        <v>137</v>
      </c>
      <c r="AI21" s="46" t="s">
        <v>153</v>
      </c>
    </row>
    <row r="22" spans="1:35" x14ac:dyDescent="0.25">
      <c r="AC22" s="58" t="s">
        <v>141</v>
      </c>
    </row>
    <row r="23" spans="1:35" x14ac:dyDescent="0.25">
      <c r="AC23" s="58" t="s">
        <v>139</v>
      </c>
    </row>
    <row r="24" spans="1:35" x14ac:dyDescent="0.25">
      <c r="AC24" s="58" t="s">
        <v>99</v>
      </c>
    </row>
    <row r="25" spans="1:35" x14ac:dyDescent="0.25">
      <c r="C25" s="12" t="s">
        <v>215</v>
      </c>
    </row>
    <row r="26" spans="1:35" x14ac:dyDescent="0.25">
      <c r="A26" s="2" t="s">
        <v>216</v>
      </c>
      <c r="C26" s="40">
        <f ca="1">TODAY()</f>
        <v>44160</v>
      </c>
    </row>
    <row r="27" spans="1:35" x14ac:dyDescent="0.25">
      <c r="A27" s="2" t="s">
        <v>217</v>
      </c>
      <c r="C27" s="40">
        <v>44197</v>
      </c>
    </row>
  </sheetData>
  <sortState xmlns:xlrd2="http://schemas.microsoft.com/office/spreadsheetml/2017/richdata2" ref="AC3:AC30">
    <sortCondition ref="AC3:AC3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185bdc-6c92-460c-b8fa-2b92816f1214">
      <UserInfo>
        <DisplayName>Tom Ratcliff</DisplayName>
        <AccountId>9</AccountId>
        <AccountType/>
      </UserInfo>
      <UserInfo>
        <DisplayName>Catherine Allford</DisplayName>
        <AccountId>32</AccountId>
        <AccountType/>
      </UserInfo>
      <UserInfo>
        <DisplayName>Michael Lilley</DisplayName>
        <AccountId>12</AccountId>
        <AccountType/>
      </UserInfo>
      <UserInfo>
        <DisplayName>Chris Carter (Civil &amp; Building Eng)</DisplayName>
        <AccountId>55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75E309BBA184B844744988D87A03F" ma:contentTypeVersion="6" ma:contentTypeDescription="Create a new document." ma:contentTypeScope="" ma:versionID="22aae6753fd247bd54c2652fb13f6a12">
  <xsd:schema xmlns:xsd="http://www.w3.org/2001/XMLSchema" xmlns:xs="http://www.w3.org/2001/XMLSchema" xmlns:p="http://schemas.microsoft.com/office/2006/metadata/properties" xmlns:ns2="aadc6678-e98d-4354-9935-69fe97633daa" xmlns:ns3="39185bdc-6c92-460c-b8fa-2b92816f1214" targetNamespace="http://schemas.microsoft.com/office/2006/metadata/properties" ma:root="true" ma:fieldsID="aa99dc72b0a6b7a28ffaa206234fa1a3" ns2:_="" ns3:_="">
    <xsd:import namespace="aadc6678-e98d-4354-9935-69fe97633daa"/>
    <xsd:import namespace="39185bdc-6c92-460c-b8fa-2b92816f1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c6678-e98d-4354-9935-69fe97633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85bdc-6c92-460c-b8fa-2b92816f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29F2D-FDD4-42AF-8E26-22ED7B3022A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9185bdc-6c92-460c-b8fa-2b92816f1214"/>
    <ds:schemaRef ds:uri="http://schemas.microsoft.com/office/2006/documentManagement/types"/>
    <ds:schemaRef ds:uri="aadc6678-e98d-4354-9935-69fe97633d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556B55-4502-4823-9A67-5484BED31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C384C-4D20-482B-AFD1-7CCCE4A25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dc6678-e98d-4354-9935-69fe97633daa"/>
    <ds:schemaRef ds:uri="39185bdc-6c92-460c-b8fa-2b92816f1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Notes</vt:lpstr>
      <vt:lpstr>Costs</vt:lpstr>
      <vt:lpstr>Acad</vt:lpstr>
      <vt:lpstr>Dates</vt:lpstr>
      <vt:lpstr>Dept</vt:lpstr>
      <vt:lpstr>Duration</vt:lpstr>
      <vt:lpstr>FTE</vt:lpstr>
      <vt:lpstr>Grade_4</vt:lpstr>
      <vt:lpstr>Grade_5</vt:lpstr>
      <vt:lpstr>Grade_6</vt:lpstr>
      <vt:lpstr>Grade_7</vt:lpstr>
      <vt:lpstr>Grade_8</vt:lpstr>
      <vt:lpstr>GradeA</vt:lpstr>
      <vt:lpstr>GradeAd</vt:lpstr>
      <vt:lpstr>GradeR</vt:lpstr>
      <vt:lpstr>Inflation</vt:lpstr>
      <vt:lpstr>Item</vt:lpstr>
      <vt:lpstr>Professorial</vt:lpstr>
      <vt:lpstr>Role</vt:lpstr>
      <vt:lpstr>Scale</vt:lpstr>
      <vt:lpstr>Support</vt:lpstr>
      <vt:lpstr>Units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Wood</dc:creator>
  <cp:keywords/>
  <dc:description/>
  <cp:lastModifiedBy>Laura Dale</cp:lastModifiedBy>
  <cp:revision/>
  <dcterms:created xsi:type="dcterms:W3CDTF">2019-03-21T07:44:05Z</dcterms:created>
  <dcterms:modified xsi:type="dcterms:W3CDTF">2020-11-25T11:16:19Z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0x01010048575E309BBA184B844744988D87A03F</vt:lpwstr>
  </property>
  <property fmtid="{D5CDD505-2E9C-101B-9397-08002B2CF9AE}" pid="3" name="Order">
    <vt:r8>178800</vt:r8>
  </property>
  <property fmtid="{D5CDD505-2E9C-101B-9397-08002B2CF9AE}" pid="4" name="ComplianceAssetId">
    <vt:lpwstr/>
  </property>
</Properties>
</file>